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8800" windowHeight="12225"/>
  </bookViews>
  <sheets>
    <sheet name="20 - podlaskie" sheetId="7" r:id="rId1"/>
    <sheet name="pow podst" sheetId="3" r:id="rId2"/>
    <sheet name="gm podst" sheetId="5" r:id="rId3"/>
    <sheet name="pow rez" sheetId="4" r:id="rId4"/>
    <sheet name="gm rez" sheetId="6" r:id="rId5"/>
  </sheets>
  <definedNames>
    <definedName name="_xlnm._FilterDatabase" localSheetId="2" hidden="1">'gm podst'!$A$2:$AB$109</definedName>
    <definedName name="_xlnm._FilterDatabase" localSheetId="4" hidden="1">'gm rez'!$A$2:$AB$57</definedName>
    <definedName name="_xlnm._FilterDatabase" localSheetId="1" hidden="1">'pow podst'!$A$2:$AB$2</definedName>
    <definedName name="_xlnm._FilterDatabase" localSheetId="3" hidden="1">'pow rez'!$A$1:$AA$39</definedName>
    <definedName name="_xlnm.Print_Area" localSheetId="0">'20 - podlaskie'!$A$1:$O$35</definedName>
    <definedName name="_xlnm.Print_Area" localSheetId="2">'gm podst'!$A$1:$X$121</definedName>
    <definedName name="_xlnm.Print_Area" localSheetId="4">'gm rez'!$A$1:$X$69</definedName>
    <definedName name="_xlnm.Print_Area" localSheetId="1">'pow podst'!$A$1:$W$78</definedName>
    <definedName name="_xlnm.Print_Area" localSheetId="3">'pow rez'!$A$1:$W$50</definedName>
    <definedName name="_xlnm.Print_Titles" localSheetId="2">'gm podst'!$1:$2</definedName>
    <definedName name="_xlnm.Print_Titles" localSheetId="4">'gm rez'!$1:$2</definedName>
    <definedName name="_xlnm.Print_Titles" localSheetId="1">'pow podst'!$1:$2</definedName>
    <definedName name="_xlnm.Print_Titles" localSheetId="3">'pow rez'!$1:$2</definedName>
  </definedNames>
  <calcPr calcId="124519"/>
</workbook>
</file>

<file path=xl/calcChain.xml><?xml version="1.0" encoding="utf-8"?>
<calcChain xmlns="http://schemas.openxmlformats.org/spreadsheetml/2006/main">
  <c r="X60" i="3"/>
  <c r="Y60"/>
  <c r="Z60" s="1"/>
  <c r="AA60"/>
  <c r="K52" i="4" l="1"/>
  <c r="K60" i="3"/>
  <c r="R60" s="1"/>
  <c r="L60" l="1"/>
  <c r="C26" i="7"/>
  <c r="G26"/>
  <c r="H26"/>
  <c r="I26"/>
  <c r="M26"/>
  <c r="N26"/>
  <c r="O26"/>
  <c r="F26"/>
  <c r="G25"/>
  <c r="H25"/>
  <c r="I25"/>
  <c r="K25"/>
  <c r="L25"/>
  <c r="M25"/>
  <c r="N25"/>
  <c r="O25"/>
  <c r="F25"/>
  <c r="C25"/>
  <c r="G24"/>
  <c r="H24"/>
  <c r="I24"/>
  <c r="M24"/>
  <c r="N24"/>
  <c r="O24"/>
  <c r="F24"/>
  <c r="C24"/>
  <c r="L103" i="5"/>
  <c r="I55" i="6" l="1"/>
  <c r="O39" i="4"/>
  <c r="P39"/>
  <c r="Q39"/>
  <c r="U39"/>
  <c r="V39"/>
  <c r="W39"/>
  <c r="N39"/>
  <c r="O37"/>
  <c r="P37"/>
  <c r="Q37"/>
  <c r="U37"/>
  <c r="V37"/>
  <c r="W37"/>
  <c r="O38"/>
  <c r="P38"/>
  <c r="Q38"/>
  <c r="S38"/>
  <c r="T38"/>
  <c r="U38"/>
  <c r="V38"/>
  <c r="W38"/>
  <c r="N38"/>
  <c r="N37"/>
  <c r="J39"/>
  <c r="J38"/>
  <c r="J37"/>
  <c r="H39"/>
  <c r="H38"/>
  <c r="H37"/>
  <c r="K106" i="5"/>
  <c r="J64" i="3"/>
  <c r="H64"/>
  <c r="L48" i="5" l="1"/>
  <c r="L9" i="6" l="1"/>
  <c r="K44" i="3"/>
  <c r="L10" i="6"/>
  <c r="L5"/>
  <c r="L6"/>
  <c r="S105" i="5"/>
  <c r="Z5" i="6" l="1"/>
  <c r="AA5" s="1"/>
  <c r="S10"/>
  <c r="Y10"/>
  <c r="Z10"/>
  <c r="AA10" s="1"/>
  <c r="Z6"/>
  <c r="AA6" s="1"/>
  <c r="Z9"/>
  <c r="AA9" s="1"/>
  <c r="T9"/>
  <c r="S9"/>
  <c r="Y9" s="1"/>
  <c r="M9"/>
  <c r="AB9" s="1"/>
  <c r="L7"/>
  <c r="S7" l="1"/>
  <c r="Z7"/>
  <c r="AA7" s="1"/>
  <c r="Y7"/>
  <c r="M7"/>
  <c r="AB7" s="1"/>
  <c r="L4"/>
  <c r="M4" l="1"/>
  <c r="AB4" s="1"/>
  <c r="Z4"/>
  <c r="AA4" s="1"/>
  <c r="Y4"/>
  <c r="L104" i="5"/>
  <c r="M103" l="1"/>
  <c r="AB103" s="1"/>
  <c r="Z103"/>
  <c r="AA103" s="1"/>
  <c r="Y103"/>
  <c r="Y104"/>
  <c r="Z104"/>
  <c r="AA104" s="1"/>
  <c r="M104"/>
  <c r="AB104" s="1"/>
  <c r="L102"/>
  <c r="L101"/>
  <c r="M101" l="1"/>
  <c r="AB101" s="1"/>
  <c r="Z101"/>
  <c r="AA101" s="1"/>
  <c r="M102"/>
  <c r="AB102" s="1"/>
  <c r="Z102"/>
  <c r="AA102" s="1"/>
  <c r="S102"/>
  <c r="Y102" s="1"/>
  <c r="S101"/>
  <c r="Y101" s="1"/>
  <c r="K36" i="4"/>
  <c r="R36" s="1"/>
  <c r="L54" i="6"/>
  <c r="S54" s="1"/>
  <c r="L52"/>
  <c r="L53"/>
  <c r="M53" s="1"/>
  <c r="L45"/>
  <c r="Z45" s="1"/>
  <c r="AA45" s="1"/>
  <c r="L46"/>
  <c r="Z46" s="1"/>
  <c r="AA46" s="1"/>
  <c r="L47"/>
  <c r="Z47" s="1"/>
  <c r="AA47" s="1"/>
  <c r="L48"/>
  <c r="S48" s="1"/>
  <c r="Y48" s="1"/>
  <c r="L49"/>
  <c r="Z49" s="1"/>
  <c r="AA49" s="1"/>
  <c r="L50"/>
  <c r="S50" s="1"/>
  <c r="L51"/>
  <c r="Z51" s="1"/>
  <c r="AA51" s="1"/>
  <c r="M5"/>
  <c r="AB5" s="1"/>
  <c r="K28" i="4"/>
  <c r="R28" s="1"/>
  <c r="X28" s="1"/>
  <c r="K29"/>
  <c r="L29" s="1"/>
  <c r="AA29" s="1"/>
  <c r="K30"/>
  <c r="Y30" s="1"/>
  <c r="Z30" s="1"/>
  <c r="K31"/>
  <c r="Y31" s="1"/>
  <c r="Z31" s="1"/>
  <c r="K32"/>
  <c r="L32" s="1"/>
  <c r="AA32" s="1"/>
  <c r="K33"/>
  <c r="K34"/>
  <c r="Y34" s="1"/>
  <c r="Z34" s="1"/>
  <c r="K35"/>
  <c r="L35" s="1"/>
  <c r="K27"/>
  <c r="Y27" s="1"/>
  <c r="Z27" s="1"/>
  <c r="L44" i="6"/>
  <c r="L105" i="5"/>
  <c r="M105" s="1"/>
  <c r="T105"/>
  <c r="T100"/>
  <c r="S100"/>
  <c r="L100"/>
  <c r="Z100" s="1"/>
  <c r="AA100" s="1"/>
  <c r="L99"/>
  <c r="M99" s="1"/>
  <c r="K62" i="3"/>
  <c r="Y62" s="1"/>
  <c r="Z62" s="1"/>
  <c r="S34" i="5"/>
  <c r="R34"/>
  <c r="L34"/>
  <c r="S33"/>
  <c r="R33"/>
  <c r="L33"/>
  <c r="Z33" s="1"/>
  <c r="AA33" s="1"/>
  <c r="S32"/>
  <c r="R32"/>
  <c r="L32"/>
  <c r="R31"/>
  <c r="L31"/>
  <c r="Z31" s="1"/>
  <c r="AA31" s="1"/>
  <c r="L30"/>
  <c r="S29"/>
  <c r="R29"/>
  <c r="L29"/>
  <c r="M29" s="1"/>
  <c r="L28"/>
  <c r="M28" s="1"/>
  <c r="AB28" s="1"/>
  <c r="S27"/>
  <c r="R27"/>
  <c r="L27"/>
  <c r="M27" s="1"/>
  <c r="AB27" s="1"/>
  <c r="L26"/>
  <c r="M26" s="1"/>
  <c r="AB26" s="1"/>
  <c r="N25"/>
  <c r="M25"/>
  <c r="AB25" s="1"/>
  <c r="N24"/>
  <c r="M24"/>
  <c r="AB24" s="1"/>
  <c r="N23"/>
  <c r="M23"/>
  <c r="AB23" s="1"/>
  <c r="N22"/>
  <c r="M22"/>
  <c r="AB22" s="1"/>
  <c r="S21"/>
  <c r="R21"/>
  <c r="L21"/>
  <c r="N20"/>
  <c r="M20"/>
  <c r="AB20" s="1"/>
  <c r="N19"/>
  <c r="M19"/>
  <c r="AB19" s="1"/>
  <c r="N18"/>
  <c r="M18"/>
  <c r="AB18" s="1"/>
  <c r="L17"/>
  <c r="M17" s="1"/>
  <c r="AB17" s="1"/>
  <c r="N16"/>
  <c r="M16"/>
  <c r="AB16" s="1"/>
  <c r="L15"/>
  <c r="M15" s="1"/>
  <c r="AB15" s="1"/>
  <c r="N14"/>
  <c r="M14"/>
  <c r="AB14" s="1"/>
  <c r="T13"/>
  <c r="T107" s="1"/>
  <c r="S13"/>
  <c r="R13"/>
  <c r="L13"/>
  <c r="Z13" s="1"/>
  <c r="AA13" s="1"/>
  <c r="M13"/>
  <c r="AB13" s="1"/>
  <c r="L12"/>
  <c r="N11"/>
  <c r="M11"/>
  <c r="AB11" s="1"/>
  <c r="L10"/>
  <c r="M10" s="1"/>
  <c r="AB10" s="1"/>
  <c r="L9"/>
  <c r="Y9" s="1"/>
  <c r="L8"/>
  <c r="L7"/>
  <c r="Z7" s="1"/>
  <c r="AA7" s="1"/>
  <c r="L6"/>
  <c r="M6" s="1"/>
  <c r="AB6" s="1"/>
  <c r="N5"/>
  <c r="M5"/>
  <c r="AB5" s="1"/>
  <c r="S30" i="3"/>
  <c r="R30"/>
  <c r="Q30"/>
  <c r="K30"/>
  <c r="Y30" s="1"/>
  <c r="Z30" s="1"/>
  <c r="R29"/>
  <c r="Q29"/>
  <c r="K29"/>
  <c r="L29" s="1"/>
  <c r="R28"/>
  <c r="K28"/>
  <c r="L28" s="1"/>
  <c r="AA28" s="1"/>
  <c r="X27"/>
  <c r="Y27"/>
  <c r="Z27"/>
  <c r="AA27"/>
  <c r="K26"/>
  <c r="R26" s="1"/>
  <c r="X26" s="1"/>
  <c r="M25"/>
  <c r="L25"/>
  <c r="AA25" s="1"/>
  <c r="S24"/>
  <c r="R24"/>
  <c r="Q24"/>
  <c r="K24"/>
  <c r="L24" s="1"/>
  <c r="AA24" s="1"/>
  <c r="M23"/>
  <c r="L23"/>
  <c r="AA23" s="1"/>
  <c r="S22"/>
  <c r="R22"/>
  <c r="Q22"/>
  <c r="K22"/>
  <c r="Y22" s="1"/>
  <c r="Z22" s="1"/>
  <c r="S21"/>
  <c r="R21"/>
  <c r="Q21"/>
  <c r="K21"/>
  <c r="K20"/>
  <c r="L20" s="1"/>
  <c r="AA20" s="1"/>
  <c r="M19"/>
  <c r="L19"/>
  <c r="AA19" s="1"/>
  <c r="S18"/>
  <c r="R18"/>
  <c r="Q18"/>
  <c r="K18"/>
  <c r="L18" s="1"/>
  <c r="AA18" s="1"/>
  <c r="S17"/>
  <c r="R17"/>
  <c r="Q17"/>
  <c r="K17"/>
  <c r="L17" s="1"/>
  <c r="R16"/>
  <c r="X16" s="1"/>
  <c r="Q16"/>
  <c r="K16"/>
  <c r="L16" s="1"/>
  <c r="AA16" s="1"/>
  <c r="S15"/>
  <c r="R15"/>
  <c r="Q15"/>
  <c r="K15"/>
  <c r="L15" s="1"/>
  <c r="AA15" s="1"/>
  <c r="S14"/>
  <c r="R14"/>
  <c r="X14" s="1"/>
  <c r="Q14"/>
  <c r="K14"/>
  <c r="L14" s="1"/>
  <c r="AA14" s="1"/>
  <c r="S13"/>
  <c r="R13"/>
  <c r="Q13"/>
  <c r="K13"/>
  <c r="K12"/>
  <c r="L12" s="1"/>
  <c r="AA12" s="1"/>
  <c r="M11"/>
  <c r="Z11" s="1"/>
  <c r="M10"/>
  <c r="M9"/>
  <c r="L9"/>
  <c r="AA9" s="1"/>
  <c r="K8"/>
  <c r="L8" s="1"/>
  <c r="K7"/>
  <c r="L7" s="1"/>
  <c r="M6"/>
  <c r="K5"/>
  <c r="L5" s="1"/>
  <c r="AA5" s="1"/>
  <c r="K4"/>
  <c r="L4" s="1"/>
  <c r="AA4" s="1"/>
  <c r="K3"/>
  <c r="L3" s="1"/>
  <c r="AA3" s="1"/>
  <c r="L17" i="6"/>
  <c r="M17" s="1"/>
  <c r="AB17" s="1"/>
  <c r="S17"/>
  <c r="T17"/>
  <c r="L41"/>
  <c r="M41" s="1"/>
  <c r="AB41" s="1"/>
  <c r="L40"/>
  <c r="M40" s="1"/>
  <c r="AB40" s="1"/>
  <c r="AA6" i="3"/>
  <c r="AA10"/>
  <c r="Y6"/>
  <c r="Z6" s="1"/>
  <c r="Y9"/>
  <c r="Y10"/>
  <c r="Z10" s="1"/>
  <c r="Y11"/>
  <c r="Y19"/>
  <c r="Y23"/>
  <c r="Z23" s="1"/>
  <c r="Y25"/>
  <c r="Y28"/>
  <c r="Z28" s="1"/>
  <c r="X6"/>
  <c r="X9"/>
  <c r="X10"/>
  <c r="X11"/>
  <c r="X19"/>
  <c r="X23"/>
  <c r="X25"/>
  <c r="K54"/>
  <c r="L54" s="1"/>
  <c r="T28" i="6"/>
  <c r="S28"/>
  <c r="T45" i="5"/>
  <c r="U45"/>
  <c r="K35" i="3"/>
  <c r="R35" s="1"/>
  <c r="K36"/>
  <c r="Y36" s="1"/>
  <c r="Z36" s="1"/>
  <c r="K8" i="4"/>
  <c r="R8" s="1"/>
  <c r="X8" s="1"/>
  <c r="T43" i="6"/>
  <c r="S43"/>
  <c r="T42"/>
  <c r="S42"/>
  <c r="L43"/>
  <c r="M43" s="1"/>
  <c r="AB43" s="1"/>
  <c r="L42"/>
  <c r="Z42" s="1"/>
  <c r="AA42" s="1"/>
  <c r="L98" i="5"/>
  <c r="S98" s="1"/>
  <c r="S45"/>
  <c r="T97"/>
  <c r="S97"/>
  <c r="L97"/>
  <c r="Z97" s="1"/>
  <c r="AA97" s="1"/>
  <c r="L45"/>
  <c r="L87"/>
  <c r="M87" s="1"/>
  <c r="T39" i="6"/>
  <c r="S39"/>
  <c r="L39"/>
  <c r="Z39" s="1"/>
  <c r="AA39" s="1"/>
  <c r="L68" i="5"/>
  <c r="Z68" s="1"/>
  <c r="AA68" s="1"/>
  <c r="L96"/>
  <c r="Z96" s="1"/>
  <c r="AA96" s="1"/>
  <c r="L39"/>
  <c r="S39" s="1"/>
  <c r="T55"/>
  <c r="S55"/>
  <c r="L55"/>
  <c r="Z55" s="1"/>
  <c r="AA55" s="1"/>
  <c r="L59"/>
  <c r="T50"/>
  <c r="S50"/>
  <c r="L50"/>
  <c r="T30" i="6"/>
  <c r="S30"/>
  <c r="L30"/>
  <c r="M30" s="1"/>
  <c r="AB30" s="1"/>
  <c r="L28"/>
  <c r="Z28" s="1"/>
  <c r="AA28" s="1"/>
  <c r="T52" i="5"/>
  <c r="S52"/>
  <c r="L52"/>
  <c r="Z52" s="1"/>
  <c r="AA52" s="1"/>
  <c r="T49"/>
  <c r="S49"/>
  <c r="L49"/>
  <c r="M49" s="1"/>
  <c r="L63"/>
  <c r="M63" s="1"/>
  <c r="AB63" s="1"/>
  <c r="T91"/>
  <c r="S91"/>
  <c r="L91"/>
  <c r="Z91" s="1"/>
  <c r="AA91" s="1"/>
  <c r="L95"/>
  <c r="Z95" s="1"/>
  <c r="AA95" s="1"/>
  <c r="L88"/>
  <c r="Z88" s="1"/>
  <c r="AA88" s="1"/>
  <c r="L94"/>
  <c r="Z94" s="1"/>
  <c r="AA94" s="1"/>
  <c r="L93"/>
  <c r="M93" s="1"/>
  <c r="AB93" s="1"/>
  <c r="L38" i="6"/>
  <c r="S38" s="1"/>
  <c r="L37"/>
  <c r="M37" s="1"/>
  <c r="L27"/>
  <c r="L36"/>
  <c r="M36" s="1"/>
  <c r="AB36" s="1"/>
  <c r="K61" i="3"/>
  <c r="Y61" s="1"/>
  <c r="Z61" s="1"/>
  <c r="K39"/>
  <c r="R39"/>
  <c r="S39"/>
  <c r="K34"/>
  <c r="L34" s="1"/>
  <c r="K6" i="4"/>
  <c r="L6" s="1"/>
  <c r="K11"/>
  <c r="R11" s="1"/>
  <c r="X11" s="1"/>
  <c r="T16"/>
  <c r="S16"/>
  <c r="R16"/>
  <c r="K16"/>
  <c r="K9"/>
  <c r="R9" s="1"/>
  <c r="X9" s="1"/>
  <c r="K13"/>
  <c r="S5"/>
  <c r="R5"/>
  <c r="K5"/>
  <c r="L15" i="6"/>
  <c r="M15" s="1"/>
  <c r="AB15" s="1"/>
  <c r="K26" i="4"/>
  <c r="L26" s="1"/>
  <c r="AA26" s="1"/>
  <c r="AB109" i="5"/>
  <c r="L61"/>
  <c r="L73"/>
  <c r="Z73" s="1"/>
  <c r="AA73" s="1"/>
  <c r="S32" i="6"/>
  <c r="U24"/>
  <c r="T24"/>
  <c r="S24"/>
  <c r="T23"/>
  <c r="S23"/>
  <c r="T20"/>
  <c r="S20"/>
  <c r="R15" i="4"/>
  <c r="K18"/>
  <c r="Y18" s="1"/>
  <c r="Z18" s="1"/>
  <c r="K10"/>
  <c r="S4"/>
  <c r="R4"/>
  <c r="K4"/>
  <c r="K3"/>
  <c r="S23"/>
  <c r="R23"/>
  <c r="S7"/>
  <c r="R7"/>
  <c r="S19"/>
  <c r="R19"/>
  <c r="S17"/>
  <c r="R17"/>
  <c r="S15"/>
  <c r="S22"/>
  <c r="R22"/>
  <c r="S21"/>
  <c r="R21"/>
  <c r="K23"/>
  <c r="Y23" s="1"/>
  <c r="Z23" s="1"/>
  <c r="K7"/>
  <c r="Y7" s="1"/>
  <c r="Z7" s="1"/>
  <c r="K19"/>
  <c r="K17"/>
  <c r="Y17" s="1"/>
  <c r="Z17" s="1"/>
  <c r="K25"/>
  <c r="L25" s="1"/>
  <c r="K15"/>
  <c r="L15" s="1"/>
  <c r="K20"/>
  <c r="L20" s="1"/>
  <c r="AA20" s="1"/>
  <c r="K22"/>
  <c r="X22" s="1"/>
  <c r="K24"/>
  <c r="R24" s="1"/>
  <c r="K12"/>
  <c r="Y12" s="1"/>
  <c r="Z12" s="1"/>
  <c r="K21"/>
  <c r="K14"/>
  <c r="Y14" s="1"/>
  <c r="Z14" s="1"/>
  <c r="T12" i="6"/>
  <c r="S12"/>
  <c r="T22"/>
  <c r="S22"/>
  <c r="T25"/>
  <c r="S25"/>
  <c r="T18"/>
  <c r="S18"/>
  <c r="U26"/>
  <c r="T26"/>
  <c r="S26"/>
  <c r="L16"/>
  <c r="S16" s="1"/>
  <c r="Y16" s="1"/>
  <c r="L12"/>
  <c r="Z12" s="1"/>
  <c r="AA12" s="1"/>
  <c r="L3"/>
  <c r="L22"/>
  <c r="M22" s="1"/>
  <c r="L20"/>
  <c r="Z20" s="1"/>
  <c r="AA20" s="1"/>
  <c r="L19"/>
  <c r="M19" s="1"/>
  <c r="AB19" s="1"/>
  <c r="L23"/>
  <c r="M23" s="1"/>
  <c r="L25"/>
  <c r="Z25" s="1"/>
  <c r="AA25" s="1"/>
  <c r="L18"/>
  <c r="M18" s="1"/>
  <c r="T14"/>
  <c r="S14"/>
  <c r="T11"/>
  <c r="S11"/>
  <c r="U32"/>
  <c r="T32"/>
  <c r="T21"/>
  <c r="S21"/>
  <c r="T34"/>
  <c r="S34"/>
  <c r="L14"/>
  <c r="Z14" s="1"/>
  <c r="AA14" s="1"/>
  <c r="L11"/>
  <c r="L24"/>
  <c r="Z24" s="1"/>
  <c r="AA24" s="1"/>
  <c r="L13"/>
  <c r="Z13" s="1"/>
  <c r="AA13" s="1"/>
  <c r="L31"/>
  <c r="M31" s="1"/>
  <c r="L26"/>
  <c r="M26" s="1"/>
  <c r="L32"/>
  <c r="L8"/>
  <c r="L21"/>
  <c r="M21" s="1"/>
  <c r="AB21" s="1"/>
  <c r="L35"/>
  <c r="Z35" s="1"/>
  <c r="AA35" s="1"/>
  <c r="L29"/>
  <c r="Z29" s="1"/>
  <c r="AA29" s="1"/>
  <c r="L34"/>
  <c r="Z34" s="1"/>
  <c r="AA34" s="1"/>
  <c r="L33"/>
  <c r="M33" s="1"/>
  <c r="M6"/>
  <c r="AB6" s="1"/>
  <c r="L56" i="5"/>
  <c r="Z56" s="1"/>
  <c r="AA56" s="1"/>
  <c r="S84"/>
  <c r="T84"/>
  <c r="T43"/>
  <c r="U47"/>
  <c r="T47"/>
  <c r="T37"/>
  <c r="S37"/>
  <c r="T71"/>
  <c r="S71"/>
  <c r="T60"/>
  <c r="L80"/>
  <c r="Z80" s="1"/>
  <c r="AA80" s="1"/>
  <c r="T85"/>
  <c r="S85"/>
  <c r="L85"/>
  <c r="Z85" s="1"/>
  <c r="AA85" s="1"/>
  <c r="L71"/>
  <c r="L84"/>
  <c r="Z84" s="1"/>
  <c r="AA84" s="1"/>
  <c r="L83"/>
  <c r="Z83" s="1"/>
  <c r="AA83" s="1"/>
  <c r="L78"/>
  <c r="Z78" s="1"/>
  <c r="AA78" s="1"/>
  <c r="L89"/>
  <c r="M89" s="1"/>
  <c r="AB89" s="1"/>
  <c r="T92"/>
  <c r="S92"/>
  <c r="L86"/>
  <c r="Z86" s="1"/>
  <c r="AA86" s="1"/>
  <c r="L90"/>
  <c r="Z90" s="1"/>
  <c r="AA90" s="1"/>
  <c r="L92"/>
  <c r="M92" s="1"/>
  <c r="S43"/>
  <c r="S47"/>
  <c r="T38"/>
  <c r="S38"/>
  <c r="S60"/>
  <c r="T35"/>
  <c r="S35"/>
  <c r="T42"/>
  <c r="S42"/>
  <c r="L43"/>
  <c r="L51"/>
  <c r="Z51" s="1"/>
  <c r="AA51" s="1"/>
  <c r="L47"/>
  <c r="Z47" s="1"/>
  <c r="AA47" s="1"/>
  <c r="L40"/>
  <c r="Z40" s="1"/>
  <c r="AA40" s="1"/>
  <c r="L46"/>
  <c r="M46" s="1"/>
  <c r="AB46" s="1"/>
  <c r="L37"/>
  <c r="Z37" s="1"/>
  <c r="AA37" s="1"/>
  <c r="L67"/>
  <c r="Z67" s="1"/>
  <c r="AA67" s="1"/>
  <c r="L36"/>
  <c r="M36" s="1"/>
  <c r="AB36" s="1"/>
  <c r="Z48"/>
  <c r="AA48" s="1"/>
  <c r="L38"/>
  <c r="L66"/>
  <c r="S66" s="1"/>
  <c r="L65"/>
  <c r="Z65" s="1"/>
  <c r="AA65" s="1"/>
  <c r="L69"/>
  <c r="S69" s="1"/>
  <c r="L60"/>
  <c r="Z60" s="1"/>
  <c r="AA60" s="1"/>
  <c r="L41"/>
  <c r="Z41" s="1"/>
  <c r="AA41" s="1"/>
  <c r="L75"/>
  <c r="Z75" s="1"/>
  <c r="AA75" s="1"/>
  <c r="L64"/>
  <c r="Z64" s="1"/>
  <c r="AA64" s="1"/>
  <c r="L74"/>
  <c r="M74" s="1"/>
  <c r="AB74" s="1"/>
  <c r="L58"/>
  <c r="Z58" s="1"/>
  <c r="AA58" s="1"/>
  <c r="L44"/>
  <c r="Z44" s="1"/>
  <c r="AA44" s="1"/>
  <c r="L81"/>
  <c r="Z81" s="1"/>
  <c r="AA81" s="1"/>
  <c r="L77"/>
  <c r="Z77" s="1"/>
  <c r="AA77" s="1"/>
  <c r="L76"/>
  <c r="Z76" s="1"/>
  <c r="AA76" s="1"/>
  <c r="L54"/>
  <c r="S54" s="1"/>
  <c r="L35"/>
  <c r="Z35" s="1"/>
  <c r="AA35" s="1"/>
  <c r="L42"/>
  <c r="L57"/>
  <c r="L62"/>
  <c r="Z62" s="1"/>
  <c r="AA62" s="1"/>
  <c r="L70"/>
  <c r="Z70" s="1"/>
  <c r="AA70" s="1"/>
  <c r="L53"/>
  <c r="Z53" s="1"/>
  <c r="AA53" s="1"/>
  <c r="L82"/>
  <c r="Z82" s="1"/>
  <c r="AA82" s="1"/>
  <c r="L72"/>
  <c r="L79"/>
  <c r="Z79" s="1"/>
  <c r="AA79" s="1"/>
  <c r="T59" i="3"/>
  <c r="S59"/>
  <c r="R59"/>
  <c r="T51"/>
  <c r="S51"/>
  <c r="R51"/>
  <c r="K59"/>
  <c r="L59" s="1"/>
  <c r="AA59" s="1"/>
  <c r="K51"/>
  <c r="L51" s="1"/>
  <c r="AA51" s="1"/>
  <c r="T58"/>
  <c r="S58"/>
  <c r="R58"/>
  <c r="T57"/>
  <c r="S57"/>
  <c r="X57" s="1"/>
  <c r="R57"/>
  <c r="S53"/>
  <c r="R53"/>
  <c r="K55"/>
  <c r="R55" s="1"/>
  <c r="K58"/>
  <c r="L58" s="1"/>
  <c r="AA58" s="1"/>
  <c r="K57"/>
  <c r="L57" s="1"/>
  <c r="AA57" s="1"/>
  <c r="K53"/>
  <c r="L53" s="1"/>
  <c r="K56"/>
  <c r="R56" s="1"/>
  <c r="T49"/>
  <c r="S49"/>
  <c r="R49"/>
  <c r="T45"/>
  <c r="S45"/>
  <c r="R45"/>
  <c r="K49"/>
  <c r="Y49" s="1"/>
  <c r="Z49" s="1"/>
  <c r="K45"/>
  <c r="K46"/>
  <c r="K50"/>
  <c r="R50" s="1"/>
  <c r="K47"/>
  <c r="R47" s="1"/>
  <c r="X47" s="1"/>
  <c r="K48"/>
  <c r="S32"/>
  <c r="R32"/>
  <c r="T40"/>
  <c r="T64" s="1"/>
  <c r="S40"/>
  <c r="R40"/>
  <c r="T37"/>
  <c r="S37"/>
  <c r="R37"/>
  <c r="S33"/>
  <c r="R33"/>
  <c r="S31"/>
  <c r="R31"/>
  <c r="K32"/>
  <c r="L32" s="1"/>
  <c r="K40"/>
  <c r="L40" s="1"/>
  <c r="K43"/>
  <c r="R43" s="1"/>
  <c r="K37"/>
  <c r="L37" s="1"/>
  <c r="AA37" s="1"/>
  <c r="K52"/>
  <c r="K33"/>
  <c r="L33" s="1"/>
  <c r="K42"/>
  <c r="Y42" s="1"/>
  <c r="Z42" s="1"/>
  <c r="K31"/>
  <c r="Y31" s="1"/>
  <c r="Z31" s="1"/>
  <c r="K38"/>
  <c r="K41"/>
  <c r="L41" s="1"/>
  <c r="AA11"/>
  <c r="Y23" i="5"/>
  <c r="K108"/>
  <c r="Y22"/>
  <c r="Z18"/>
  <c r="Q55" i="6"/>
  <c r="O55"/>
  <c r="O106" i="5"/>
  <c r="N64" i="3"/>
  <c r="I107" i="5"/>
  <c r="X109"/>
  <c r="X108"/>
  <c r="X107"/>
  <c r="X106"/>
  <c r="W109"/>
  <c r="W108"/>
  <c r="W107"/>
  <c r="W106"/>
  <c r="V109"/>
  <c r="V108"/>
  <c r="V107"/>
  <c r="V106"/>
  <c r="U108"/>
  <c r="U107"/>
  <c r="T108"/>
  <c r="P109"/>
  <c r="P108"/>
  <c r="O109"/>
  <c r="O108"/>
  <c r="O107"/>
  <c r="K109"/>
  <c r="K107"/>
  <c r="I109"/>
  <c r="I108"/>
  <c r="I106"/>
  <c r="W67" i="3"/>
  <c r="W66"/>
  <c r="W65"/>
  <c r="W64"/>
  <c r="V67"/>
  <c r="V66"/>
  <c r="V65"/>
  <c r="V64"/>
  <c r="U67"/>
  <c r="U66"/>
  <c r="U65"/>
  <c r="U64"/>
  <c r="T66"/>
  <c r="T65"/>
  <c r="S66"/>
  <c r="O67"/>
  <c r="O66"/>
  <c r="O65"/>
  <c r="O64"/>
  <c r="N67"/>
  <c r="N66"/>
  <c r="N65"/>
  <c r="J67"/>
  <c r="J66"/>
  <c r="J65"/>
  <c r="H67"/>
  <c r="H66"/>
  <c r="H65"/>
  <c r="O19" i="7"/>
  <c r="O18"/>
  <c r="O17"/>
  <c r="O16"/>
  <c r="N19"/>
  <c r="N18"/>
  <c r="N17"/>
  <c r="N16"/>
  <c r="M19"/>
  <c r="M18"/>
  <c r="M17"/>
  <c r="M16"/>
  <c r="L18"/>
  <c r="L17"/>
  <c r="K18"/>
  <c r="G19"/>
  <c r="G18"/>
  <c r="F19"/>
  <c r="F18"/>
  <c r="F17"/>
  <c r="F16"/>
  <c r="C19"/>
  <c r="C18"/>
  <c r="C17"/>
  <c r="C16"/>
  <c r="O15"/>
  <c r="N15"/>
  <c r="M15"/>
  <c r="G15"/>
  <c r="F15"/>
  <c r="C15"/>
  <c r="O14"/>
  <c r="N14"/>
  <c r="M14"/>
  <c r="L14"/>
  <c r="K14"/>
  <c r="G14"/>
  <c r="F14"/>
  <c r="C14"/>
  <c r="O13"/>
  <c r="N13"/>
  <c r="M13"/>
  <c r="L13"/>
  <c r="G13"/>
  <c r="F13"/>
  <c r="C13"/>
  <c r="O12"/>
  <c r="N12"/>
  <c r="M12"/>
  <c r="G12"/>
  <c r="F12"/>
  <c r="C12"/>
  <c r="P107" i="5"/>
  <c r="P106"/>
  <c r="G17" i="7"/>
  <c r="G16"/>
  <c r="K55" i="6"/>
  <c r="X57"/>
  <c r="X56"/>
  <c r="X55"/>
  <c r="W57"/>
  <c r="W56"/>
  <c r="W55"/>
  <c r="V57"/>
  <c r="V56"/>
  <c r="V55"/>
  <c r="U56"/>
  <c r="T56"/>
  <c r="P57"/>
  <c r="P56"/>
  <c r="P55"/>
  <c r="O57"/>
  <c r="O56"/>
  <c r="K57"/>
  <c r="K56"/>
  <c r="I57"/>
  <c r="I56"/>
  <c r="O29" i="7"/>
  <c r="O32" s="1"/>
  <c r="N29"/>
  <c r="M29"/>
  <c r="G29"/>
  <c r="F29"/>
  <c r="C29"/>
  <c r="O28"/>
  <c r="O31" s="1"/>
  <c r="N28"/>
  <c r="N31" s="1"/>
  <c r="M28"/>
  <c r="L28"/>
  <c r="L31" s="1"/>
  <c r="K28"/>
  <c r="G28"/>
  <c r="F28"/>
  <c r="F31" s="1"/>
  <c r="C28"/>
  <c r="C31" s="1"/>
  <c r="O27"/>
  <c r="O30" s="1"/>
  <c r="N27"/>
  <c r="M27"/>
  <c r="G27"/>
  <c r="G30" s="1"/>
  <c r="F27"/>
  <c r="C27"/>
  <c r="Z3" i="5"/>
  <c r="AA3" s="1"/>
  <c r="Y3"/>
  <c r="Z4"/>
  <c r="AA4" s="1"/>
  <c r="Y4"/>
  <c r="Z14"/>
  <c r="Y14"/>
  <c r="Z16"/>
  <c r="AA16" s="1"/>
  <c r="Y16"/>
  <c r="AB3"/>
  <c r="AB4"/>
  <c r="Q109"/>
  <c r="H19" i="7"/>
  <c r="P67" i="3"/>
  <c r="H15" i="7"/>
  <c r="Y24" i="5"/>
  <c r="Y25"/>
  <c r="Z25"/>
  <c r="Y19"/>
  <c r="H29" i="7"/>
  <c r="Z24" i="5"/>
  <c r="Z19"/>
  <c r="Q57" i="6"/>
  <c r="H18" i="7"/>
  <c r="Q108" i="5"/>
  <c r="P66" i="3"/>
  <c r="H14" i="7"/>
  <c r="Q56" i="6"/>
  <c r="H28" i="7"/>
  <c r="H27"/>
  <c r="H30" s="1"/>
  <c r="H12"/>
  <c r="P65" i="3"/>
  <c r="H13" i="7"/>
  <c r="P64" i="3"/>
  <c r="Q107" i="5"/>
  <c r="H17" i="7"/>
  <c r="Q66" i="3"/>
  <c r="I14" i="7"/>
  <c r="R57" i="6"/>
  <c r="Z22" i="5"/>
  <c r="Z20"/>
  <c r="Y20"/>
  <c r="I29" i="7"/>
  <c r="I32" s="1"/>
  <c r="I28"/>
  <c r="R56" i="6"/>
  <c r="I18" i="7"/>
  <c r="Z23" i="5"/>
  <c r="AA23" s="1"/>
  <c r="Y18"/>
  <c r="H16" i="7"/>
  <c r="Q106" i="5"/>
  <c r="R108"/>
  <c r="I27" i="7"/>
  <c r="R55" i="6"/>
  <c r="L62" i="3"/>
  <c r="AA62" s="1"/>
  <c r="R46"/>
  <c r="X46" s="1"/>
  <c r="R62"/>
  <c r="Y32"/>
  <c r="Z32" s="1"/>
  <c r="Y33"/>
  <c r="Z33" s="1"/>
  <c r="Y34"/>
  <c r="Z34" s="1"/>
  <c r="Y50"/>
  <c r="Z50" s="1"/>
  <c r="X3"/>
  <c r="Z5" i="5"/>
  <c r="AA5" s="1"/>
  <c r="Y5"/>
  <c r="L10" i="4"/>
  <c r="Y6"/>
  <c r="Z6" s="1"/>
  <c r="Z11" i="5"/>
  <c r="M45"/>
  <c r="AB45" s="1"/>
  <c r="S99"/>
  <c r="L35" i="3"/>
  <c r="AA35" s="1"/>
  <c r="R34"/>
  <c r="S59" i="5"/>
  <c r="L55" i="3"/>
  <c r="AA55" s="1"/>
  <c r="Y55"/>
  <c r="Z55" s="1"/>
  <c r="Y58"/>
  <c r="Z58" s="1"/>
  <c r="Z25"/>
  <c r="M43" i="5"/>
  <c r="AB43" s="1"/>
  <c r="S74"/>
  <c r="Y74" s="1"/>
  <c r="S53"/>
  <c r="Y3" i="3"/>
  <c r="Z3" s="1"/>
  <c r="Y43"/>
  <c r="Z43" s="1"/>
  <c r="L50"/>
  <c r="AA50" s="1"/>
  <c r="S86" i="5"/>
  <c r="Z10"/>
  <c r="AA10" s="1"/>
  <c r="M60"/>
  <c r="AB60" s="1"/>
  <c r="Y6"/>
  <c r="Y17"/>
  <c r="Z17"/>
  <c r="AA17" s="1"/>
  <c r="M79"/>
  <c r="AB79" s="1"/>
  <c r="Z21"/>
  <c r="AA21" s="1"/>
  <c r="Y12"/>
  <c r="M21"/>
  <c r="AB21" s="1"/>
  <c r="Y29"/>
  <c r="Z12"/>
  <c r="AA12" s="1"/>
  <c r="M48"/>
  <c r="AB48" s="1"/>
  <c r="M72"/>
  <c r="S93"/>
  <c r="M35"/>
  <c r="M91"/>
  <c r="AB91" s="1"/>
  <c r="S61"/>
  <c r="I19" i="7"/>
  <c r="R109" i="5"/>
  <c r="Z9"/>
  <c r="AA9" s="1"/>
  <c r="Y15"/>
  <c r="Z15"/>
  <c r="AA15" s="1"/>
  <c r="Y26" i="3"/>
  <c r="Z26" s="1"/>
  <c r="Y16"/>
  <c r="Z16" s="1"/>
  <c r="Y41"/>
  <c r="Z41" s="1"/>
  <c r="R41"/>
  <c r="X41" s="1"/>
  <c r="X58"/>
  <c r="X29"/>
  <c r="L26"/>
  <c r="AA26" s="1"/>
  <c r="Y12"/>
  <c r="Z12" s="1"/>
  <c r="X21"/>
  <c r="L21"/>
  <c r="Y21"/>
  <c r="Z21" s="1"/>
  <c r="R52"/>
  <c r="Y44"/>
  <c r="Z44" s="1"/>
  <c r="Q67"/>
  <c r="R44"/>
  <c r="X44" s="1"/>
  <c r="Y29"/>
  <c r="Z29" s="1"/>
  <c r="L44"/>
  <c r="AA44" s="1"/>
  <c r="I15" i="7"/>
  <c r="Y13" i="3"/>
  <c r="Z13" s="1"/>
  <c r="L13"/>
  <c r="AA13" s="1"/>
  <c r="L47"/>
  <c r="AA47" s="1"/>
  <c r="Y7"/>
  <c r="Z7" s="1"/>
  <c r="Z9"/>
  <c r="Y52"/>
  <c r="Z52" s="1"/>
  <c r="Y57"/>
  <c r="Z57" s="1"/>
  <c r="Z19"/>
  <c r="Y59"/>
  <c r="Z59" s="1"/>
  <c r="Y35"/>
  <c r="Z35" s="1"/>
  <c r="AA29"/>
  <c r="AA10" i="4"/>
  <c r="R10"/>
  <c r="X10" s="1"/>
  <c r="R14"/>
  <c r="X14" s="1"/>
  <c r="Y10"/>
  <c r="Z10" s="1"/>
  <c r="S64" i="5"/>
  <c r="M97"/>
  <c r="AB97" s="1"/>
  <c r="M98"/>
  <c r="AB98" s="1"/>
  <c r="S83"/>
  <c r="AA33" i="3"/>
  <c r="Y39"/>
  <c r="Z39" s="1"/>
  <c r="Y46"/>
  <c r="Z46" s="1"/>
  <c r="L46"/>
  <c r="AA46" s="1"/>
  <c r="T67"/>
  <c r="L39"/>
  <c r="AA39" s="1"/>
  <c r="Y18"/>
  <c r="Z18" s="1"/>
  <c r="X7"/>
  <c r="Y11" i="5"/>
  <c r="Z23" i="6"/>
  <c r="AA23" s="1"/>
  <c r="R12" i="4"/>
  <c r="X12"/>
  <c r="L18"/>
  <c r="AA18" s="1"/>
  <c r="R18"/>
  <c r="X18" s="1"/>
  <c r="L12"/>
  <c r="AA12" s="1"/>
  <c r="R6"/>
  <c r="X6" s="1"/>
  <c r="L9"/>
  <c r="AA9" s="1"/>
  <c r="L16"/>
  <c r="AA16" s="1"/>
  <c r="R30"/>
  <c r="X30"/>
  <c r="AA25"/>
  <c r="Y25"/>
  <c r="Z25" s="1"/>
  <c r="R25"/>
  <c r="X25" s="1"/>
  <c r="L17"/>
  <c r="AA17" s="1"/>
  <c r="Y13"/>
  <c r="Z13" s="1"/>
  <c r="R33"/>
  <c r="R13"/>
  <c r="X13"/>
  <c r="Y33"/>
  <c r="Z33" s="1"/>
  <c r="Z17" i="6"/>
  <c r="AA17" s="1"/>
  <c r="Z15"/>
  <c r="AA15" s="1"/>
  <c r="S15"/>
  <c r="AA6" i="4"/>
  <c r="AA15"/>
  <c r="L5"/>
  <c r="Y15"/>
  <c r="Z15" s="1"/>
  <c r="Y5"/>
  <c r="Z5" s="1"/>
  <c r="Y29"/>
  <c r="Z29" s="1"/>
  <c r="L31"/>
  <c r="AA31" s="1"/>
  <c r="R39" l="1"/>
  <c r="J26" i="7"/>
  <c r="K26"/>
  <c r="K24"/>
  <c r="L26"/>
  <c r="L24"/>
  <c r="X21" i="4"/>
  <c r="E24" i="7"/>
  <c r="E25"/>
  <c r="B24"/>
  <c r="B26"/>
  <c r="B25"/>
  <c r="E26"/>
  <c r="L56" i="3"/>
  <c r="Q28"/>
  <c r="Q64" s="1"/>
  <c r="K65"/>
  <c r="K15" i="7"/>
  <c r="J15"/>
  <c r="J13"/>
  <c r="S64" i="3"/>
  <c r="L61"/>
  <c r="AA61" s="1"/>
  <c r="Y5"/>
  <c r="Z5" s="1"/>
  <c r="X5"/>
  <c r="Y54"/>
  <c r="Z54" s="1"/>
  <c r="AA54"/>
  <c r="L15" i="7"/>
  <c r="X39" i="3"/>
  <c r="Y56"/>
  <c r="Z56" s="1"/>
  <c r="X12"/>
  <c r="AA56"/>
  <c r="R61"/>
  <c r="Y65"/>
  <c r="G20" i="7"/>
  <c r="H21"/>
  <c r="X59" i="3"/>
  <c r="Y53"/>
  <c r="Z53" s="1"/>
  <c r="L31"/>
  <c r="AA31" s="1"/>
  <c r="L49"/>
  <c r="AA49" s="1"/>
  <c r="X49"/>
  <c r="H23" i="7"/>
  <c r="Y14" i="3"/>
  <c r="Z14" s="1"/>
  <c r="C21" i="7"/>
  <c r="AA41" i="3"/>
  <c r="Y32" i="4"/>
  <c r="Z32" s="1"/>
  <c r="Z38" i="6"/>
  <c r="AA38" s="1"/>
  <c r="AA11" i="5"/>
  <c r="Y47" i="3"/>
  <c r="Z47" s="1"/>
  <c r="S37" i="4"/>
  <c r="S39"/>
  <c r="M38" i="6"/>
  <c r="AB38" s="1"/>
  <c r="S67" i="3"/>
  <c r="R48"/>
  <c r="X48" s="1"/>
  <c r="AA19" i="5"/>
  <c r="AA14"/>
  <c r="N22" i="7"/>
  <c r="N34" s="1"/>
  <c r="T37" i="4"/>
  <c r="T39"/>
  <c r="I17" i="7"/>
  <c r="K12"/>
  <c r="Y50" i="5"/>
  <c r="Y4" i="3"/>
  <c r="Z4" s="1"/>
  <c r="Y37"/>
  <c r="Z37" s="1"/>
  <c r="E13" i="7"/>
  <c r="Z30" i="6"/>
  <c r="AA30" s="1"/>
  <c r="F21" i="7"/>
  <c r="M20"/>
  <c r="X61" i="3"/>
  <c r="Y8"/>
  <c r="Z8" s="1"/>
  <c r="L23" i="4"/>
  <c r="AA23" s="1"/>
  <c r="Y20" i="3"/>
  <c r="Z20" s="1"/>
  <c r="F22" i="7"/>
  <c r="F34" s="1"/>
  <c r="M21"/>
  <c r="O21"/>
  <c r="X53" i="3"/>
  <c r="Z11" i="6"/>
  <c r="AA11" s="1"/>
  <c r="K13" i="7"/>
  <c r="X22" i="3"/>
  <c r="N20" i="7"/>
  <c r="Z43" i="6"/>
  <c r="AA43" s="1"/>
  <c r="X20" i="3"/>
  <c r="F23" i="7"/>
  <c r="M22"/>
  <c r="O22"/>
  <c r="O34" s="1"/>
  <c r="AA53" i="3"/>
  <c r="Y3" i="4"/>
  <c r="Z3" s="1"/>
  <c r="K38"/>
  <c r="K37"/>
  <c r="Y37" s="1"/>
  <c r="X37" i="3"/>
  <c r="G31" i="7"/>
  <c r="G22"/>
  <c r="O23"/>
  <c r="O35" s="1"/>
  <c r="S8" i="6"/>
  <c r="Z8"/>
  <c r="AA8" s="1"/>
  <c r="Y8"/>
  <c r="AB8"/>
  <c r="M3"/>
  <c r="L55"/>
  <c r="L4" i="4"/>
  <c r="K39"/>
  <c r="X16"/>
  <c r="X13" i="3"/>
  <c r="Y34" i="5"/>
  <c r="S41"/>
  <c r="Y41" s="1"/>
  <c r="AA25"/>
  <c r="R106"/>
  <c r="L16" i="7"/>
  <c r="AA18" i="5"/>
  <c r="I16" i="7"/>
  <c r="M53" i="5"/>
  <c r="AB53" s="1"/>
  <c r="R107"/>
  <c r="M76"/>
  <c r="AB76" s="1"/>
  <c r="Z6"/>
  <c r="AA6" s="1"/>
  <c r="Y42"/>
  <c r="M82"/>
  <c r="AB82" s="1"/>
  <c r="M84"/>
  <c r="AB84" s="1"/>
  <c r="S67"/>
  <c r="Y67" s="1"/>
  <c r="AA20"/>
  <c r="S56"/>
  <c r="Y56" s="1"/>
  <c r="Z27"/>
  <c r="AA27" s="1"/>
  <c r="Y13"/>
  <c r="Y10"/>
  <c r="K17" i="7"/>
  <c r="T106" i="5"/>
  <c r="AB105"/>
  <c r="S95"/>
  <c r="Y95" s="1"/>
  <c r="M51"/>
  <c r="AB51" s="1"/>
  <c r="M68"/>
  <c r="AB68" s="1"/>
  <c r="Y71"/>
  <c r="Z105"/>
  <c r="AA105" s="1"/>
  <c r="M96"/>
  <c r="AB96" s="1"/>
  <c r="Y26"/>
  <c r="Z26"/>
  <c r="AA26" s="1"/>
  <c r="Y21"/>
  <c r="Y24" i="6"/>
  <c r="Y12"/>
  <c r="AB31"/>
  <c r="S47"/>
  <c r="S49"/>
  <c r="M12"/>
  <c r="AB12" s="1"/>
  <c r="M28"/>
  <c r="AB28" s="1"/>
  <c r="Z21"/>
  <c r="AA21" s="1"/>
  <c r="M35"/>
  <c r="AB35" s="1"/>
  <c r="S35"/>
  <c r="Y35" s="1"/>
  <c r="S19"/>
  <c r="Y19" s="1"/>
  <c r="Z19"/>
  <c r="AA19" s="1"/>
  <c r="Z41"/>
  <c r="AA41" s="1"/>
  <c r="M8"/>
  <c r="Y14"/>
  <c r="M10"/>
  <c r="AB10" s="1"/>
  <c r="Y20"/>
  <c r="Y39"/>
  <c r="S41"/>
  <c r="Y41" s="1"/>
  <c r="M20"/>
  <c r="AB20" s="1"/>
  <c r="M14"/>
  <c r="AB14" s="1"/>
  <c r="L19" i="4"/>
  <c r="AA19" s="1"/>
  <c r="X17"/>
  <c r="L21"/>
  <c r="AA21" s="1"/>
  <c r="Y19"/>
  <c r="Z19" s="1"/>
  <c r="Y8"/>
  <c r="Z8" s="1"/>
  <c r="L28"/>
  <c r="AA28" s="1"/>
  <c r="N30" i="7"/>
  <c r="Y21" i="4"/>
  <c r="Z21" s="1"/>
  <c r="Y35"/>
  <c r="Z35" s="1"/>
  <c r="Y9"/>
  <c r="Z9" s="1"/>
  <c r="F32" i="7"/>
  <c r="Y26" i="4"/>
  <c r="Z26" s="1"/>
  <c r="H31" i="7"/>
  <c r="M30"/>
  <c r="R34" i="4"/>
  <c r="X34" s="1"/>
  <c r="Y4"/>
  <c r="Z4" s="1"/>
  <c r="X4"/>
  <c r="Y16"/>
  <c r="Z16" s="1"/>
  <c r="Y28"/>
  <c r="Z28" s="1"/>
  <c r="L34"/>
  <c r="AA34" s="1"/>
  <c r="X15"/>
  <c r="R26"/>
  <c r="X26" s="1"/>
  <c r="L24"/>
  <c r="AA24" s="1"/>
  <c r="G32" i="7"/>
  <c r="X19" i="4"/>
  <c r="Y24"/>
  <c r="Z24" s="1"/>
  <c r="I30" i="7"/>
  <c r="I31"/>
  <c r="H32"/>
  <c r="Y25" i="6"/>
  <c r="Y42"/>
  <c r="S37"/>
  <c r="Y37" s="1"/>
  <c r="Y43"/>
  <c r="Y17"/>
  <c r="S58" i="5"/>
  <c r="Y58" s="1"/>
  <c r="M58"/>
  <c r="AB58" s="1"/>
  <c r="S96"/>
  <c r="Y96" s="1"/>
  <c r="M42"/>
  <c r="AB42" s="1"/>
  <c r="M65"/>
  <c r="AB65" s="1"/>
  <c r="S51"/>
  <c r="Y51" s="1"/>
  <c r="M40"/>
  <c r="AB40" s="1"/>
  <c r="M55"/>
  <c r="AB55" s="1"/>
  <c r="S36"/>
  <c r="M83"/>
  <c r="AB83" s="1"/>
  <c r="M54"/>
  <c r="AB54" s="1"/>
  <c r="M45" i="6"/>
  <c r="AB45" s="1"/>
  <c r="Z16"/>
  <c r="AA16" s="1"/>
  <c r="Y34"/>
  <c r="Z22"/>
  <c r="AA22" s="1"/>
  <c r="S31"/>
  <c r="Y31" s="1"/>
  <c r="Z40"/>
  <c r="AA40" s="1"/>
  <c r="S6"/>
  <c r="Y6" s="1"/>
  <c r="Y22"/>
  <c r="M25"/>
  <c r="AB25" s="1"/>
  <c r="M16"/>
  <c r="AB16" s="1"/>
  <c r="M39"/>
  <c r="AB39" s="1"/>
  <c r="Y21"/>
  <c r="Y30"/>
  <c r="M39" i="5"/>
  <c r="AB39" s="1"/>
  <c r="M69"/>
  <c r="AB69" s="1"/>
  <c r="S79"/>
  <c r="Y79" s="1"/>
  <c r="Z28"/>
  <c r="AA28" s="1"/>
  <c r="M50"/>
  <c r="G23" i="7"/>
  <c r="S81" i="5"/>
  <c r="Y81" s="1"/>
  <c r="S62"/>
  <c r="Y62" s="1"/>
  <c r="M94"/>
  <c r="AB94" s="1"/>
  <c r="M86"/>
  <c r="AB86" s="1"/>
  <c r="S82"/>
  <c r="Y82" s="1"/>
  <c r="S94"/>
  <c r="M85"/>
  <c r="AB85" s="1"/>
  <c r="M71"/>
  <c r="AB71" s="1"/>
  <c r="S90"/>
  <c r="Y90" s="1"/>
  <c r="T55" i="6"/>
  <c r="S29"/>
  <c r="Y29" s="1"/>
  <c r="S13"/>
  <c r="Y13" s="1"/>
  <c r="U57"/>
  <c r="M32" i="7"/>
  <c r="Z53" i="6"/>
  <c r="AA53" s="1"/>
  <c r="M48"/>
  <c r="AB48" s="1"/>
  <c r="K27" i="7"/>
  <c r="C30"/>
  <c r="M31"/>
  <c r="Y28" i="6"/>
  <c r="S45"/>
  <c r="Y45" s="1"/>
  <c r="Z48"/>
  <c r="AA48" s="1"/>
  <c r="M29"/>
  <c r="AB29" s="1"/>
  <c r="AB22"/>
  <c r="M42"/>
  <c r="AB42" s="1"/>
  <c r="S57"/>
  <c r="S73" i="5"/>
  <c r="Y73" s="1"/>
  <c r="I23" i="7"/>
  <c r="I35" s="1"/>
  <c r="C20"/>
  <c r="G21"/>
  <c r="M23"/>
  <c r="M95" i="5"/>
  <c r="AB95" s="1"/>
  <c r="H20" i="7"/>
  <c r="H33" s="1"/>
  <c r="F20"/>
  <c r="L21"/>
  <c r="L22"/>
  <c r="L34" s="1"/>
  <c r="N23"/>
  <c r="L109" i="5"/>
  <c r="Z109" s="1"/>
  <c r="S40"/>
  <c r="Y40" s="1"/>
  <c r="M56"/>
  <c r="AB56" s="1"/>
  <c r="AB87"/>
  <c r="M37"/>
  <c r="AB37" s="1"/>
  <c r="S65"/>
  <c r="Y65" s="1"/>
  <c r="Z74"/>
  <c r="AA74" s="1"/>
  <c r="Z29"/>
  <c r="AA29" s="1"/>
  <c r="Z71"/>
  <c r="AA71" s="1"/>
  <c r="S88"/>
  <c r="Y88" s="1"/>
  <c r="Y27"/>
  <c r="Z42"/>
  <c r="AA42" s="1"/>
  <c r="M44"/>
  <c r="AB44" s="1"/>
  <c r="M88"/>
  <c r="AB88" s="1"/>
  <c r="H22" i="7"/>
  <c r="M81" i="5"/>
  <c r="AB81" s="1"/>
  <c r="M67"/>
  <c r="AB67" s="1"/>
  <c r="Z39"/>
  <c r="AA39" s="1"/>
  <c r="S78"/>
  <c r="Y78" s="1"/>
  <c r="J19" i="7"/>
  <c r="L27" i="4"/>
  <c r="AA27" s="1"/>
  <c r="AB37" i="6"/>
  <c r="AA40" i="3"/>
  <c r="Z98" i="5"/>
  <c r="AA98" s="1"/>
  <c r="L8" i="4"/>
  <c r="AA8" s="1"/>
  <c r="X7"/>
  <c r="L30"/>
  <c r="AA30" s="1"/>
  <c r="L29" i="7"/>
  <c r="X18" i="3"/>
  <c r="X32"/>
  <c r="K19" i="7"/>
  <c r="K23" s="1"/>
  <c r="K16"/>
  <c r="R67" i="3"/>
  <c r="L12" i="7"/>
  <c r="R54" i="3"/>
  <c r="X54" s="1"/>
  <c r="S65"/>
  <c r="L22"/>
  <c r="AA22" s="1"/>
  <c r="Y51"/>
  <c r="Z51" s="1"/>
  <c r="U106" i="5"/>
  <c r="S80"/>
  <c r="Y80" s="1"/>
  <c r="M62"/>
  <c r="AB62" s="1"/>
  <c r="L19" i="7"/>
  <c r="R65" i="3"/>
  <c r="L43"/>
  <c r="AA43" s="1"/>
  <c r="Y48"/>
  <c r="Z48" s="1"/>
  <c r="I22" i="7"/>
  <c r="M41" i="5"/>
  <c r="AB41" s="1"/>
  <c r="M90"/>
  <c r="AB90" s="1"/>
  <c r="Z31" i="6"/>
  <c r="AA31" s="1"/>
  <c r="X23" i="4"/>
  <c r="S63" i="5"/>
  <c r="Y63" s="1"/>
  <c r="S68"/>
  <c r="Y68" s="1"/>
  <c r="X35" i="3"/>
  <c r="X24"/>
  <c r="AB29" i="5"/>
  <c r="Y66"/>
  <c r="Z63"/>
  <c r="AA63" s="1"/>
  <c r="Z54" i="6"/>
  <c r="AA54" s="1"/>
  <c r="M77" i="5"/>
  <c r="AB77" s="1"/>
  <c r="R3" i="4"/>
  <c r="B17" i="7"/>
  <c r="L7" i="4"/>
  <c r="Z37" i="6"/>
  <c r="AA37" s="1"/>
  <c r="S3"/>
  <c r="Y3" s="1"/>
  <c r="S51"/>
  <c r="Y51" s="1"/>
  <c r="Z26"/>
  <c r="AA26" s="1"/>
  <c r="S46"/>
  <c r="Y46" s="1"/>
  <c r="M11"/>
  <c r="AB11" s="1"/>
  <c r="L22" i="4"/>
  <c r="AA22" s="1"/>
  <c r="L106" i="5"/>
  <c r="Z106" s="1"/>
  <c r="Y7"/>
  <c r="E17" i="7"/>
  <c r="S77" i="5"/>
  <c r="Y77" s="1"/>
  <c r="R20" i="4"/>
  <c r="X20" s="1"/>
  <c r="L3"/>
  <c r="X50" i="3"/>
  <c r="S44" i="5"/>
  <c r="Y44" s="1"/>
  <c r="M47"/>
  <c r="AB47" s="1"/>
  <c r="AA22"/>
  <c r="L27" i="7"/>
  <c r="L30" s="1"/>
  <c r="U109" i="5"/>
  <c r="T109"/>
  <c r="Y11" i="4"/>
  <c r="Z11" s="1"/>
  <c r="Y20"/>
  <c r="Z20" s="1"/>
  <c r="AA4"/>
  <c r="Y11" i="6"/>
  <c r="M34"/>
  <c r="AB34" s="1"/>
  <c r="AA17" i="3"/>
  <c r="Y17"/>
  <c r="Z17" s="1"/>
  <c r="M73" i="5"/>
  <c r="AB73" s="1"/>
  <c r="X4" i="3"/>
  <c r="Y40"/>
  <c r="Z40" s="1"/>
  <c r="X15"/>
  <c r="Y24"/>
  <c r="Z24" s="1"/>
  <c r="S75" i="5"/>
  <c r="Y75" s="1"/>
  <c r="S70"/>
  <c r="R42" i="3"/>
  <c r="X42" s="1"/>
  <c r="L48"/>
  <c r="AA48" s="1"/>
  <c r="Y55" i="5"/>
  <c r="Z87"/>
  <c r="AA87" s="1"/>
  <c r="S33" i="6"/>
  <c r="Y33" s="1"/>
  <c r="R27" i="4"/>
  <c r="X27" s="1"/>
  <c r="AB3" i="6"/>
  <c r="Y38"/>
  <c r="AB26"/>
  <c r="Y26"/>
  <c r="Z3"/>
  <c r="AA3" s="1"/>
  <c r="L11" i="4"/>
  <c r="AA11" s="1"/>
  <c r="L14"/>
  <c r="AA14" s="1"/>
  <c r="AB23" i="6"/>
  <c r="X33" i="3"/>
  <c r="E16" i="7"/>
  <c r="X8" i="3"/>
  <c r="M7" i="5"/>
  <c r="AB7" s="1"/>
  <c r="E18" i="7"/>
  <c r="Y28" i="5"/>
  <c r="S46"/>
  <c r="M44" i="6"/>
  <c r="AB44" s="1"/>
  <c r="AA24" i="5"/>
  <c r="O20" i="7"/>
  <c r="O33" s="1"/>
  <c r="K22"/>
  <c r="N21"/>
  <c r="X43" i="3"/>
  <c r="X56"/>
  <c r="X24" i="4"/>
  <c r="Y105" i="5"/>
  <c r="Z50"/>
  <c r="AA50" s="1"/>
  <c r="AB53" i="6"/>
  <c r="Z33"/>
  <c r="AA33" s="1"/>
  <c r="M80" i="5"/>
  <c r="AB80" s="1"/>
  <c r="Z66"/>
  <c r="AA66" s="1"/>
  <c r="AB33" i="6"/>
  <c r="Y22" i="4"/>
  <c r="Z22" s="1"/>
  <c r="R36" i="3"/>
  <c r="X36" s="1"/>
  <c r="L36"/>
  <c r="AA36" s="1"/>
  <c r="S87" i="5"/>
  <c r="Y87" s="1"/>
  <c r="X51" i="3"/>
  <c r="I13" i="7"/>
  <c r="M78" i="5"/>
  <c r="AB78" s="1"/>
  <c r="Z30"/>
  <c r="AA30" s="1"/>
  <c r="F30" i="7"/>
  <c r="S76" i="5"/>
  <c r="Y76" s="1"/>
  <c r="Y47"/>
  <c r="M100"/>
  <c r="Y98"/>
  <c r="R31" i="4"/>
  <c r="X31" s="1"/>
  <c r="X40" i="3"/>
  <c r="M52" i="5"/>
  <c r="AB50"/>
  <c r="L42" i="3"/>
  <c r="AA42" s="1"/>
  <c r="M66" i="5"/>
  <c r="AB66" s="1"/>
  <c r="X55" i="3"/>
  <c r="M70" i="5"/>
  <c r="AB70" s="1"/>
  <c r="M64"/>
  <c r="AB64" s="1"/>
  <c r="U55" i="6"/>
  <c r="Y15" i="3"/>
  <c r="Z15" s="1"/>
  <c r="K31" i="7"/>
  <c r="M30" i="5"/>
  <c r="AB30" s="1"/>
  <c r="S44" i="6"/>
  <c r="Y44" s="1"/>
  <c r="Y30" i="5"/>
  <c r="AB100"/>
  <c r="S5" i="6"/>
  <c r="Y5" s="1"/>
  <c r="Y45" i="3"/>
  <c r="Z45" s="1"/>
  <c r="E15" i="7"/>
  <c r="X45" i="3"/>
  <c r="K67"/>
  <c r="X34"/>
  <c r="B14" i="7"/>
  <c r="C22"/>
  <c r="M32" i="6"/>
  <c r="AB32" s="1"/>
  <c r="Z32"/>
  <c r="AA32" s="1"/>
  <c r="X5" i="4"/>
  <c r="C23" i="7"/>
  <c r="G33"/>
  <c r="L57" i="6"/>
  <c r="B15" i="7"/>
  <c r="L45" i="3"/>
  <c r="M38" i="5"/>
  <c r="AB38" s="1"/>
  <c r="Z38"/>
  <c r="AA38" s="1"/>
  <c r="Y38"/>
  <c r="E19" i="7"/>
  <c r="S109" i="5"/>
  <c r="AB92"/>
  <c r="M8"/>
  <c r="AB8" s="1"/>
  <c r="B19" i="7"/>
  <c r="L107" i="5"/>
  <c r="B16" i="7"/>
  <c r="Z8" i="5"/>
  <c r="AA8" s="1"/>
  <c r="Y8"/>
  <c r="B18" i="7"/>
  <c r="M31" i="5"/>
  <c r="AB31" s="1"/>
  <c r="S31"/>
  <c r="S107" s="1"/>
  <c r="M34"/>
  <c r="AB34" s="1"/>
  <c r="Z34"/>
  <c r="AA34" s="1"/>
  <c r="X33" i="4"/>
  <c r="L33"/>
  <c r="AA33" s="1"/>
  <c r="AA5"/>
  <c r="Y18" i="6"/>
  <c r="Z18"/>
  <c r="AA18" s="1"/>
  <c r="B27" i="7"/>
  <c r="M27" i="6"/>
  <c r="AB27" s="1"/>
  <c r="Z27"/>
  <c r="AA27" s="1"/>
  <c r="L56"/>
  <c r="E29" i="7"/>
  <c r="Y15" i="6"/>
  <c r="Y32"/>
  <c r="S27"/>
  <c r="X52" i="3"/>
  <c r="L52"/>
  <c r="Z57" i="5"/>
  <c r="AA57" s="1"/>
  <c r="M57"/>
  <c r="S57"/>
  <c r="Y57" s="1"/>
  <c r="L108"/>
  <c r="X17" i="3"/>
  <c r="R32" i="4"/>
  <c r="X32" s="1"/>
  <c r="M47" i="6"/>
  <c r="AB47" s="1"/>
  <c r="Y47"/>
  <c r="C32" i="7"/>
  <c r="B28"/>
  <c r="AB18" i="6"/>
  <c r="E12" i="7"/>
  <c r="AB35" i="5"/>
  <c r="D15" i="7"/>
  <c r="AA32" i="3"/>
  <c r="B13" i="7"/>
  <c r="R38" i="3"/>
  <c r="E14" i="7"/>
  <c r="K66" i="3"/>
  <c r="L38"/>
  <c r="Y38"/>
  <c r="Z38" s="1"/>
  <c r="Z72" i="5"/>
  <c r="AA72" s="1"/>
  <c r="S72"/>
  <c r="AB72"/>
  <c r="J29" i="7"/>
  <c r="S36" i="6"/>
  <c r="Z36"/>
  <c r="AA36" s="1"/>
  <c r="Z59" i="5"/>
  <c r="AA59" s="1"/>
  <c r="Y59"/>
  <c r="M59"/>
  <c r="AB59" s="1"/>
  <c r="Z32"/>
  <c r="AA32" s="1"/>
  <c r="Y32"/>
  <c r="M32"/>
  <c r="AB32" s="1"/>
  <c r="E28" i="7"/>
  <c r="AA7" i="3"/>
  <c r="E27" i="7"/>
  <c r="Y38" i="4"/>
  <c r="B29" i="7"/>
  <c r="K29"/>
  <c r="T57" i="6"/>
  <c r="AA34" i="3"/>
  <c r="K64"/>
  <c r="B12" i="7"/>
  <c r="AA21" i="3"/>
  <c r="Q65"/>
  <c r="I12" i="7"/>
  <c r="Z36" i="5"/>
  <c r="AA36" s="1"/>
  <c r="Y36"/>
  <c r="Y23" i="6"/>
  <c r="AB49" i="5"/>
  <c r="M9"/>
  <c r="AB9" s="1"/>
  <c r="Z69"/>
  <c r="AA69" s="1"/>
  <c r="Y69"/>
  <c r="X62" i="3"/>
  <c r="Y63"/>
  <c r="Z63" s="1"/>
  <c r="R63"/>
  <c r="X63" s="1"/>
  <c r="L63"/>
  <c r="AA63" s="1"/>
  <c r="M51" i="6"/>
  <c r="AB51" s="1"/>
  <c r="S52"/>
  <c r="Y52" s="1"/>
  <c r="Z52"/>
  <c r="AA52" s="1"/>
  <c r="X28" i="3"/>
  <c r="M13" i="6"/>
  <c r="Z99" i="5"/>
  <c r="AA99" s="1"/>
  <c r="Y99"/>
  <c r="AB99"/>
  <c r="R35" i="4"/>
  <c r="AA35"/>
  <c r="Z43" i="5"/>
  <c r="AA43" s="1"/>
  <c r="Y43"/>
  <c r="M24" i="6"/>
  <c r="M61" i="5"/>
  <c r="AB61" s="1"/>
  <c r="Z61"/>
  <c r="AA61" s="1"/>
  <c r="Y61"/>
  <c r="L13" i="4"/>
  <c r="S40" i="6"/>
  <c r="Y40" s="1"/>
  <c r="AA8" i="3"/>
  <c r="R29" i="4"/>
  <c r="X29" s="1"/>
  <c r="Y49" i="6"/>
  <c r="M52"/>
  <c r="AB52" s="1"/>
  <c r="S89" i="5"/>
  <c r="Y89" s="1"/>
  <c r="Z89"/>
  <c r="AA89" s="1"/>
  <c r="Z93"/>
  <c r="AA93" s="1"/>
  <c r="Y93"/>
  <c r="Z45"/>
  <c r="AA45" s="1"/>
  <c r="Y45"/>
  <c r="N32" i="7"/>
  <c r="L30" i="3"/>
  <c r="X30"/>
  <c r="M12" i="5"/>
  <c r="AB12" s="1"/>
  <c r="Y39"/>
  <c r="Y94"/>
  <c r="Y86"/>
  <c r="Y70"/>
  <c r="Y54"/>
  <c r="Y46"/>
  <c r="Z54"/>
  <c r="AA54" s="1"/>
  <c r="Z46"/>
  <c r="AA46" s="1"/>
  <c r="M50" i="6"/>
  <c r="AB50" s="1"/>
  <c r="M54"/>
  <c r="AB54" s="1"/>
  <c r="Z50"/>
  <c r="AA50" s="1"/>
  <c r="Z44"/>
  <c r="AA44" s="1"/>
  <c r="X31" i="3"/>
  <c r="Y85" i="5"/>
  <c r="Y53"/>
  <c r="Y37"/>
  <c r="Y50" i="6"/>
  <c r="M75" i="5"/>
  <c r="AB75" s="1"/>
  <c r="M33"/>
  <c r="AB33" s="1"/>
  <c r="Y100"/>
  <c r="Y92"/>
  <c r="Y84"/>
  <c r="Y60"/>
  <c r="Y52"/>
  <c r="Z92"/>
  <c r="AA92" s="1"/>
  <c r="L36" i="4"/>
  <c r="AA36" s="1"/>
  <c r="M49" i="6"/>
  <c r="AB49" s="1"/>
  <c r="M46"/>
  <c r="AB46" s="1"/>
  <c r="S53"/>
  <c r="Y53" s="1"/>
  <c r="Y91" i="5"/>
  <c r="Y83"/>
  <c r="Y35"/>
  <c r="Y36" i="4"/>
  <c r="Z36" s="1"/>
  <c r="S48" i="5"/>
  <c r="Y48" s="1"/>
  <c r="Y97"/>
  <c r="Y49"/>
  <c r="Y33"/>
  <c r="Z49"/>
  <c r="AA49" s="1"/>
  <c r="Y54" i="6"/>
  <c r="X36" i="4"/>
  <c r="Y64" i="5"/>
  <c r="I21" i="7" l="1"/>
  <c r="L20"/>
  <c r="J24"/>
  <c r="J25"/>
  <c r="D24"/>
  <c r="D25"/>
  <c r="D26"/>
  <c r="J23"/>
  <c r="L67" i="3"/>
  <c r="AA67" s="1"/>
  <c r="L23" i="7"/>
  <c r="P15"/>
  <c r="AA45" i="3"/>
  <c r="L65"/>
  <c r="AA65" s="1"/>
  <c r="K20" i="7"/>
  <c r="D14"/>
  <c r="P14" s="1"/>
  <c r="H35"/>
  <c r="K21"/>
  <c r="J12"/>
  <c r="G34"/>
  <c r="M33"/>
  <c r="M34"/>
  <c r="E21"/>
  <c r="F35"/>
  <c r="L39" i="4"/>
  <c r="AA39" s="1"/>
  <c r="L64" i="3"/>
  <c r="AA64" s="1"/>
  <c r="AA30"/>
  <c r="AA3" i="4"/>
  <c r="L38"/>
  <c r="AA38" s="1"/>
  <c r="L37"/>
  <c r="AA37" s="1"/>
  <c r="X3"/>
  <c r="R38"/>
  <c r="X38" s="1"/>
  <c r="R37"/>
  <c r="X37" s="1"/>
  <c r="N33" i="7"/>
  <c r="I20"/>
  <c r="I33" s="1"/>
  <c r="S108" i="5"/>
  <c r="S106"/>
  <c r="F33" i="7"/>
  <c r="I34"/>
  <c r="G35"/>
  <c r="K30"/>
  <c r="K33" s="1"/>
  <c r="H34"/>
  <c r="J32"/>
  <c r="L32"/>
  <c r="L35" s="1"/>
  <c r="B31"/>
  <c r="M57" i="6"/>
  <c r="AB57" s="1"/>
  <c r="Y109" i="5"/>
  <c r="B21" i="7"/>
  <c r="L33"/>
  <c r="M35"/>
  <c r="K34"/>
  <c r="C33"/>
  <c r="D19"/>
  <c r="P19" s="1"/>
  <c r="Q19"/>
  <c r="N35"/>
  <c r="B20"/>
  <c r="J16"/>
  <c r="Q16" s="1"/>
  <c r="B22"/>
  <c r="AB52" i="5"/>
  <c r="AB24" i="6"/>
  <c r="Q13" i="7"/>
  <c r="K32"/>
  <c r="K35" s="1"/>
  <c r="P26"/>
  <c r="D18"/>
  <c r="P18" s="1"/>
  <c r="AA7" i="4"/>
  <c r="S56" i="6"/>
  <c r="Y56" s="1"/>
  <c r="B32" i="7"/>
  <c r="M56" i="6"/>
  <c r="AB56" s="1"/>
  <c r="P25" i="7"/>
  <c r="R64" i="3"/>
  <c r="X64" s="1"/>
  <c r="X65"/>
  <c r="AA52"/>
  <c r="Z56" i="6"/>
  <c r="D16" i="7"/>
  <c r="P16" s="1"/>
  <c r="D17"/>
  <c r="P17" s="1"/>
  <c r="M107" i="5"/>
  <c r="AB106" s="1"/>
  <c r="M106"/>
  <c r="Z108"/>
  <c r="Q29" i="7"/>
  <c r="D28"/>
  <c r="P28" s="1"/>
  <c r="C35"/>
  <c r="X35" i="4"/>
  <c r="M109" i="5"/>
  <c r="AB108" s="1"/>
  <c r="Y108"/>
  <c r="J18" i="7"/>
  <c r="Q18" s="1"/>
  <c r="D12"/>
  <c r="Q12"/>
  <c r="E20"/>
  <c r="J27"/>
  <c r="Q27" s="1"/>
  <c r="J28"/>
  <c r="Q28" s="1"/>
  <c r="S55" i="6"/>
  <c r="Y55" s="1"/>
  <c r="M55"/>
  <c r="AB55" s="1"/>
  <c r="R66" i="3"/>
  <c r="X66" s="1"/>
  <c r="Y72" i="5"/>
  <c r="E23" i="7"/>
  <c r="Q15"/>
  <c r="AA13" i="4"/>
  <c r="Y106" i="5"/>
  <c r="Y36" i="6"/>
  <c r="AA38" i="3"/>
  <c r="L66"/>
  <c r="AA66" s="1"/>
  <c r="Z55" i="6"/>
  <c r="AB57" i="5"/>
  <c r="B23" i="7"/>
  <c r="Y39" i="4"/>
  <c r="X39"/>
  <c r="J14" i="7"/>
  <c r="Q14" s="1"/>
  <c r="E30"/>
  <c r="X38" i="3"/>
  <c r="E31" i="7"/>
  <c r="Y57" i="6"/>
  <c r="Z57"/>
  <c r="E32" i="7"/>
  <c r="Q26"/>
  <c r="D13"/>
  <c r="Y27" i="6"/>
  <c r="Y66" i="3"/>
  <c r="Y107" i="5"/>
  <c r="Z107"/>
  <c r="B30" i="7"/>
  <c r="C34"/>
  <c r="D29"/>
  <c r="P29" s="1"/>
  <c r="AB13" i="6"/>
  <c r="Y64" i="3"/>
  <c r="E22" i="7"/>
  <c r="M108" i="5"/>
  <c r="AB107" s="1"/>
  <c r="Y31"/>
  <c r="J17" i="7"/>
  <c r="Y67" i="3"/>
  <c r="X67"/>
  <c r="D27" i="7"/>
  <c r="P27" s="1"/>
  <c r="J35" l="1"/>
  <c r="B33"/>
  <c r="Q32"/>
  <c r="B34"/>
  <c r="J20"/>
  <c r="Q20" s="1"/>
  <c r="D23"/>
  <c r="P23" s="1"/>
  <c r="D31"/>
  <c r="P31" s="1"/>
  <c r="J31"/>
  <c r="Q31" s="1"/>
  <c r="B35"/>
  <c r="Q25"/>
  <c r="D22"/>
  <c r="P22" s="1"/>
  <c r="E33"/>
  <c r="D30"/>
  <c r="P30" s="1"/>
  <c r="P24"/>
  <c r="P12"/>
  <c r="D20"/>
  <c r="Q23"/>
  <c r="E35"/>
  <c r="D32"/>
  <c r="P32" s="1"/>
  <c r="E34"/>
  <c r="J22"/>
  <c r="Q17"/>
  <c r="J21"/>
  <c r="Q21" s="1"/>
  <c r="P13"/>
  <c r="D21"/>
  <c r="P21" s="1"/>
  <c r="J30"/>
  <c r="Q24"/>
  <c r="Q35" l="1"/>
  <c r="J33"/>
  <c r="Q33" s="1"/>
  <c r="J34"/>
  <c r="Q34" s="1"/>
  <c r="D34"/>
  <c r="P34" s="1"/>
  <c r="Q22"/>
  <c r="D35"/>
  <c r="P35" s="1"/>
  <c r="Q30"/>
  <c r="P20"/>
  <c r="D33"/>
  <c r="P33" s="1"/>
</calcChain>
</file>

<file path=xl/sharedStrings.xml><?xml version="1.0" encoding="utf-8"?>
<sst xmlns="http://schemas.openxmlformats.org/spreadsheetml/2006/main" count="1629" uniqueCount="572">
  <si>
    <t>Podsumowanie naboru:</t>
  </si>
  <si>
    <t>Kategoria drogi - rodzaj listy</t>
  </si>
  <si>
    <t>powiatowe - lista rezerwowa</t>
  </si>
  <si>
    <t>gminne - lista rezerwowa</t>
  </si>
  <si>
    <t>L.p.</t>
  </si>
  <si>
    <t>Nr ewid.</t>
  </si>
  <si>
    <t>Jednostka Samorządu Terytorialnego</t>
  </si>
  <si>
    <t>Nazwa zadania</t>
  </si>
  <si>
    <t>Długość odcinka (w km)</t>
  </si>
  <si>
    <t>Ogółem wartość projektu  (w zł)</t>
  </si>
  <si>
    <t>Wnioskowana kwota dofinansowania (w zł)</t>
  </si>
  <si>
    <t>% dofinansowania</t>
  </si>
  <si>
    <t>Kwota dofinansowania w podziale na lata</t>
  </si>
  <si>
    <t>Deklarowana kwota środków własnych (w zł)</t>
  </si>
  <si>
    <t>x</t>
  </si>
  <si>
    <t>Powiat</t>
  </si>
  <si>
    <t>Wnioskowana kwota dofinansowania
(w zł)</t>
  </si>
  <si>
    <t>Wnioskowana kwota dofinansowania
 (w zł)</t>
  </si>
  <si>
    <t>ZATWIERDZAM</t>
  </si>
  <si>
    <t>………………………………………………………………………………….</t>
  </si>
  <si>
    <t>Wartość zadań ogółem</t>
  </si>
  <si>
    <t>Deklarowana kwota środków własnych</t>
  </si>
  <si>
    <t>Kwota dofinasowania ogółem</t>
  </si>
  <si>
    <t>RAZEM listy rezerwowe</t>
  </si>
  <si>
    <t>Okres realizacji zadania</t>
  </si>
  <si>
    <t>B - budowa (rozbudowa), P - przebudowa, R - remont</t>
  </si>
  <si>
    <t>kolorem czerwonym oznaczono zadania wieloletnie</t>
  </si>
  <si>
    <t>Rodzaj zadania</t>
  </si>
  <si>
    <r>
      <t>Okres realizacji zadania</t>
    </r>
    <r>
      <rPr>
        <b/>
        <vertAlign val="superscript"/>
        <sz val="8"/>
        <color indexed="8"/>
        <rFont val="Arial"/>
        <family val="2"/>
        <charset val="238"/>
      </rPr>
      <t/>
    </r>
  </si>
  <si>
    <t>spr-lata</t>
  </si>
  <si>
    <t>spr-procent</t>
  </si>
  <si>
    <t>spr-dof</t>
  </si>
  <si>
    <t>spr-montaż</t>
  </si>
  <si>
    <t>TERC</t>
  </si>
  <si>
    <t>RAZEM listy</t>
  </si>
  <si>
    <t>Liczba zadań</t>
  </si>
  <si>
    <t>powiatowe - lista podstawowa, z tego:</t>
  </si>
  <si>
    <t>kontynuowane zadania wieloletnie</t>
  </si>
  <si>
    <t>nowe zadania jednoroczne</t>
  </si>
  <si>
    <t>nowe zadania wieloletnie</t>
  </si>
  <si>
    <t>gminne - lista podstawowa, z tego:</t>
  </si>
  <si>
    <t>RAZEM listy podstawowe, z tego:</t>
  </si>
  <si>
    <t>N - nowe zadanie jednoroczne, K - kontynuowane zadanie wieloletnie z wcześniejszego naboru, W - nowe zadanie wieloletnie</t>
  </si>
  <si>
    <t>RAZEM, z tego:</t>
  </si>
  <si>
    <t>Zadanie nowe/wieloletnie [N/W]</t>
  </si>
  <si>
    <t>K</t>
  </si>
  <si>
    <t>B/P</t>
  </si>
  <si>
    <t>Powiat Białostocki</t>
  </si>
  <si>
    <t>B</t>
  </si>
  <si>
    <t>P</t>
  </si>
  <si>
    <t>Powiat białostocki</t>
  </si>
  <si>
    <t>Powiat sokólski</t>
  </si>
  <si>
    <t>Powiat grajewski</t>
  </si>
  <si>
    <t>Powiat bielski</t>
  </si>
  <si>
    <t>Powiat suwalski</t>
  </si>
  <si>
    <t>Powiat wysokomazowiecki</t>
  </si>
  <si>
    <t>Powiat moniecki</t>
  </si>
  <si>
    <t>Powiat zambrowski</t>
  </si>
  <si>
    <t>Powiat łomżyński</t>
  </si>
  <si>
    <t>Powiat siemiatycki</t>
  </si>
  <si>
    <t>Zadanie nowe/
kontynuowane/wieloletnie [N/K/W]</t>
  </si>
  <si>
    <t>W</t>
  </si>
  <si>
    <t>Powiat Sokólski</t>
  </si>
  <si>
    <t>R</t>
  </si>
  <si>
    <t>Gmina Zabłudów</t>
  </si>
  <si>
    <t>Gmina Łomża</t>
  </si>
  <si>
    <t>Gmina Turośń Kościelna</t>
  </si>
  <si>
    <t>Gmina Rutki</t>
  </si>
  <si>
    <t>Budowa dróg gminnych nr 106595B i nr 106558B (ul. Kolejowa) na odcinku od drogi powiatowej nr 1527B w Łapach do drogi wojewódzkiej nr 681 w Łapach Łynkach-etap I</t>
  </si>
  <si>
    <t>Powiat hajnowski</t>
  </si>
  <si>
    <t>Gmina Miejska Zambrów</t>
  </si>
  <si>
    <t>Gmina Suchowola</t>
  </si>
  <si>
    <t>Powiat Łomżyński</t>
  </si>
  <si>
    <t>N</t>
  </si>
  <si>
    <t>2001</t>
  </si>
  <si>
    <t>Rozbudowa i przebudowa drogi powiatowej nr 1996B Brulin - Strzeszewo o dł.ok.4 525 m</t>
  </si>
  <si>
    <t>2002</t>
  </si>
  <si>
    <t>Powiat Kolneński</t>
  </si>
  <si>
    <t>Przebudowa ciągu komunikacyjnego Ostrów południowy - Ostrów Nowy - Górany - Leszczany - Nietupa - Szaciły - Kruszyniany wraz z budową mostu na rz. Nietupa na terenie Gminy Krynki w Powiecie Sokólskim</t>
  </si>
  <si>
    <t>Powiat Siemiatycki</t>
  </si>
  <si>
    <t>Przebudowa drogi powiatowej Nr 1535B Białystok - Kruszewo na odcinku od skrzyżowania z drogą powiatową Nr 1538B od skrzyżowania z drogą powiatową Nr 1537B i drogą gminną Nr 106267B (Gm. Choroszcz)</t>
  </si>
  <si>
    <t>Powiat Bielski</t>
  </si>
  <si>
    <t>2003</t>
  </si>
  <si>
    <t>Przebudowa z rozbudową drogi powiatowej Nr 1581B Wyszki - Filipy (Etap I)</t>
  </si>
  <si>
    <t>Przebudowa i rozbudowa drogi powiatowej nr 1934B Piątnica Włościańska - Kalinowo o długości ok. 2 350m</t>
  </si>
  <si>
    <t>Powiat Suwalski</t>
  </si>
  <si>
    <t>Gmina Suwałki</t>
  </si>
  <si>
    <t>Przebudowa ciągu ulic: Łąkowej, Stefczyka, Działkowej, Kwiatowej i Kolejowej na os. M. Konopnickiej w Grajewie</t>
  </si>
  <si>
    <t>Budowa drogi od ul. Podlaskiej do ul. Ludowej - poprawa bezpieczeństwa i przepustowości ruchu w mieście Wysokie Mazowieckie</t>
  </si>
  <si>
    <t>05.2021-11.2023</t>
  </si>
  <si>
    <t>Powiat kolneński</t>
  </si>
  <si>
    <t>Gmina Wąsosz</t>
  </si>
  <si>
    <t>Rozbudowa ulic gminnych: Mostowa, Piotra z Goniądza, Witosa w mieście Goniądz</t>
  </si>
  <si>
    <t>Gmina Filipów</t>
  </si>
  <si>
    <t>Rozbudowa drogi gminnej Nr 101858B i 101865B Nowe Motule - Tabałówka - Jemieliste</t>
  </si>
  <si>
    <t>Powiat augustowski</t>
  </si>
  <si>
    <t>Gmina Perlejewo</t>
  </si>
  <si>
    <t>Gmina Grajewo</t>
  </si>
  <si>
    <t>Przebudowa drogi gminnej nr 103329B w m. Popowo</t>
  </si>
  <si>
    <t>12.2021-11.2023</t>
  </si>
  <si>
    <t>Przebudowa drogi powiatowej nr 1575B (II Etap) Bielsk Podlaski - Strabla. Odcinek Bielsk Podlaski - Stołowacz</t>
  </si>
  <si>
    <t>Remont drogi powiatowej Nr 1997B na odcinku 2800 m na terenie wsi Zbrzeźnica i Bacze Mokre</t>
  </si>
  <si>
    <t>Rozbudowa drogi gminnej Nr 101856B na odcinku Piecki - Smolenka</t>
  </si>
  <si>
    <t>Gmina Piątnica</t>
  </si>
  <si>
    <t>Gmina Miejska Hajnówka</t>
  </si>
  <si>
    <t>Gmina Nowogród</t>
  </si>
  <si>
    <t>Gmina Bielsk Podlaski</t>
  </si>
  <si>
    <t>Zadanie nowe/
wieloletnie [N/W]</t>
  </si>
  <si>
    <t>Długość odcinka 
(w km)</t>
  </si>
  <si>
    <r>
      <t>x</t>
    </r>
    <r>
      <rPr>
        <vertAlign val="superscript"/>
        <sz val="10"/>
        <color indexed="8"/>
        <rFont val="Arial"/>
        <family val="2"/>
        <charset val="238"/>
      </rPr>
      <t>1</t>
    </r>
    <r>
      <rPr>
        <sz val="10"/>
        <color indexed="8"/>
        <rFont val="Arial"/>
        <family val="2"/>
        <charset val="238"/>
      </rPr>
      <t>) Zadania z kwotą dofinansowania i wysokością wkładu własnego po przeprowadzeniu postępowań przetargowych (uzyskane oszczędności po przetargu)</t>
    </r>
  </si>
  <si>
    <r>
      <t>x</t>
    </r>
    <r>
      <rPr>
        <vertAlign val="superscript"/>
        <sz val="10"/>
        <color indexed="8"/>
        <rFont val="Arial"/>
        <family val="2"/>
        <charset val="238"/>
      </rPr>
      <t>2</t>
    </r>
    <r>
      <rPr>
        <sz val="10"/>
        <color indexed="8"/>
        <rFont val="Arial"/>
        <family val="2"/>
        <charset val="238"/>
      </rPr>
      <t>) Zadania z kwotą dofinansowania i wysokością wkładu własnego po przeprowadzeniu postępowań przetargowych (wzrost kosztów po przetargu)</t>
    </r>
  </si>
  <si>
    <t>Budowa i przebudowa dróg na Osiedlu Południe w Wysokiem Mazowieckiem - poprawa bezpieczeństwa ruchu</t>
  </si>
  <si>
    <t>Przebudowa drogi nr 106548B i nr 106550B w miejscowości Płonka Kościelna, gm. Łapy</t>
  </si>
  <si>
    <t>11.2020-02.2023</t>
  </si>
  <si>
    <t>10.2020-03.2023</t>
  </si>
  <si>
    <t>07.2021-08.2023</t>
  </si>
  <si>
    <t>07.2021-06.2023</t>
  </si>
  <si>
    <t>09.2021-12.2023</t>
  </si>
  <si>
    <t>Powiat Wysokomazowiecki</t>
  </si>
  <si>
    <t>Powiat Augustowski</t>
  </si>
  <si>
    <t>2011</t>
  </si>
  <si>
    <t>Przebudowa drogi powiatowej nr 1281B Krynki - Górany na terenie gminy Krynki w Powiecie Sokólskim wraz z usuwaniem skutków klęski żywiołowej</t>
  </si>
  <si>
    <t>06.2022-12.2024</t>
  </si>
  <si>
    <t>Przebudowa z rozbudową drogi powiatowej Nr 1418B w m. Rybniki wraz z rozbiórką i budową mostu na rzece Krzemianka (Gm. Wasilków)</t>
  </si>
  <si>
    <t>11.2022-08.2024</t>
  </si>
  <si>
    <t>Przebudowa z rozbudową drogi powiatowej Nr 1385B na odcinku Gniła - Dobrzyniewo Duże - Etap II (Gm. Dobrzyniewo Duże)</t>
  </si>
  <si>
    <t>10.2022-08.2024</t>
  </si>
  <si>
    <t>2007</t>
  </si>
  <si>
    <t>Przebudowa i rozbudowa drogi powiatowej nr 1950B na odc. Zagroby - Żebry na dł. odc. ok. 1850m</t>
  </si>
  <si>
    <t>06.2022-12.2023</t>
  </si>
  <si>
    <t>Powiat Hajnowski</t>
  </si>
  <si>
    <t>2005</t>
  </si>
  <si>
    <t>10.2022-12.2023</t>
  </si>
  <si>
    <t>Przebudowa drogi powiatowej nr 1345B Zwierzyniec Wielki - Kuderewszczyzna na terenie Gminy Dąbrowa Białostocka w Powiecie Sokólskim</t>
  </si>
  <si>
    <t>03.2022-12.2024</t>
  </si>
  <si>
    <t>Przebudowa i rozbudowa ciągu komunikacyjnego dróg powiatowych nr 1314B i 1313B na odcinku DK8 - Szaciłówka - Ostra Góra na terenie Gminy Korycin w Powiecie Sokólskim</t>
  </si>
  <si>
    <t>2013</t>
  </si>
  <si>
    <t>Przebudowa z rozbudową drogi powiatowej nr 2107B na odcinku Antonin - Winna Poświętna wraz z budową mostu w m. Winna Poświętna przez rzekę Kukawkę</t>
  </si>
  <si>
    <t>06.2022-09.2023</t>
  </si>
  <si>
    <t>Powiat Grajewski</t>
  </si>
  <si>
    <t>Rozbudowa drogi powiatowej nr 2063B na odcinku Sokoły - Nowe Racibory</t>
  </si>
  <si>
    <t>Przebudowa drogi powiatowej nr 1268B Babiki - Szczęsnowicze - Knyszewicze na terenie Gminy Szudziałowo w Powiecie Sokólskim</t>
  </si>
  <si>
    <t>Przebudowa i rozbudowa drogi powiatowej nr 1443B Nietupa - Krynki na terenie Gminy Krynki w Powiecie Sokólskim wraz z usuwaniem skutków klęski żywiołowej</t>
  </si>
  <si>
    <t>07.2022-12.2024</t>
  </si>
  <si>
    <t>Remont drogi powiatowej nr 2070B Gródek - Lubowicz Wielki i nr 2090B Lubowicz Wielki - Kostry Podsędkowięta - Wyszonki Wypychy</t>
  </si>
  <si>
    <t>Przebudowa i rozbudowa drogi powiatowej nr 1230B na odcinku Kamienna Nowa - granica Powiatu Augustowskiego z Powiatem Sokólskim na terenie Gminy Dąbrowa Białostocka w Powiecie Sokólskim</t>
  </si>
  <si>
    <t>Rozbudowa i przebudowa drogi powiatowej nr 2323B ul. Górnej i ul. Wrzosowej w Hajnówce- I etap</t>
  </si>
  <si>
    <t>06.2022-10.2023</t>
  </si>
  <si>
    <t>Powiat Zambrowski</t>
  </si>
  <si>
    <t>2014</t>
  </si>
  <si>
    <t>Przebudowa drogi powiatowej Nr 2111B w m. Księżyno (Gm. Juchnowiec Kościelny)</t>
  </si>
  <si>
    <t>Rozbudowa odcinka drogi powiatowej Nr 1187B Jabłońskie - Topiłówka - Mazurki</t>
  </si>
  <si>
    <t>05.2022-08.2023</t>
  </si>
  <si>
    <t>Przebudowa z rozbudową drogi powiatowej Nr 1424B Karczmisko - Czarna Wieś Kościelna (Gm. Czarna Białostocka)</t>
  </si>
  <si>
    <t>11.2022-06.2024</t>
  </si>
  <si>
    <t>Rozbudowa DP nr 1822B na odc. Żebry - Bukowo Duże - Wiązownica</t>
  </si>
  <si>
    <t>Rozbudowa DP nr 1806B na odc. Szczuczyn - Skaje</t>
  </si>
  <si>
    <t>07.2022-12.2023</t>
  </si>
  <si>
    <t>Remont drogi powiatowej Nr 2025 na odcinku 4610 m na terenie wsi Srebrna i Żabikowo</t>
  </si>
  <si>
    <t>Przebudowa drogi powiatowej Nr 1698B Spieszyn (Etap II)</t>
  </si>
  <si>
    <t>Gmina Sidra</t>
  </si>
  <si>
    <t>Gmina Czyżew</t>
  </si>
  <si>
    <t>Przebudowa dróg gminnych nr 108016B - ul. Okrężna, Niepodległości oraz ul. Wesoła w Czyżewie</t>
  </si>
  <si>
    <t>Gmina Łapy</t>
  </si>
  <si>
    <t>Przebudowa ulicy Korczaka w Łapach - I etap</t>
  </si>
  <si>
    <t>Gmina Kuźnica</t>
  </si>
  <si>
    <t>Gmina Gródek</t>
  </si>
  <si>
    <t>Gmina Bargłów Kościelny</t>
  </si>
  <si>
    <t>Przebudowa ulicy Spółdzielczej w Łapach</t>
  </si>
  <si>
    <t>03.2022-06.2024</t>
  </si>
  <si>
    <t>Budowa ulic św. Jana Pawła II oraz Pilota Kazimierza Sztramko w Grajewie</t>
  </si>
  <si>
    <t>Przebudowa ulicy Wodociągowej w Łapach</t>
  </si>
  <si>
    <t>Rozbudowa drogi gminnej łączącej się z drogą powiatową nr 1111B w miejscowości Filipów</t>
  </si>
  <si>
    <t>Gmina Jeleniewo</t>
  </si>
  <si>
    <t>Przebudowa drogi gminnej nr : 105842B we wsi Baliki</t>
  </si>
  <si>
    <t>Budowa ulicy Rezydenckiej i ulicy Sadowej w Porosłach wraz z niezbędną infrastrukturą techniczną</t>
  </si>
  <si>
    <t>Gmina Drohiczyn</t>
  </si>
  <si>
    <t>Przebudowa dróg gminnych 109523B, 109522B Lisowo - Putkowice Nagórne</t>
  </si>
  <si>
    <t>Budowa drogi gminnej nr 105758B ulica Cicha we wsi Stare Kupiski</t>
  </si>
  <si>
    <t>10.2022-11.2023</t>
  </si>
  <si>
    <t>Przebudowa drogi wewnętrznej w miejscowości Dębniki</t>
  </si>
  <si>
    <t>Budowa ulicy Szumiących Traw i ulicy Jesiennych Liści we wsi Porosły gm. Choroszcz</t>
  </si>
  <si>
    <t>08.2022-09.2023</t>
  </si>
  <si>
    <t>Przebudowa drogi gminnej w miejscowości Baciuty Kolonia</t>
  </si>
  <si>
    <t>Przebudowa ulicy Leśnej w Niewodnicy Koryckiej</t>
  </si>
  <si>
    <t>Budowa ulic w rejonie ul. Białostockiej w Zambrowie</t>
  </si>
  <si>
    <t>04.2022-12.2023</t>
  </si>
  <si>
    <t>Gmina Bakałarzewo</t>
  </si>
  <si>
    <t>Budowa dróg przy ul. Księdza Prałata Józefa Obrembskiego w Wysokiem Mazowieckiem</t>
  </si>
  <si>
    <t>Gmina Szepietowo</t>
  </si>
  <si>
    <t>Gmina Nurzec-Stacja</t>
  </si>
  <si>
    <t>Gmina Wysokie Mazowieckie</t>
  </si>
  <si>
    <t>Gmina Ciechanowiec</t>
  </si>
  <si>
    <t>Przebudowa drogi gminnej nr 108880B na odcinku Przybyszyn - Malec</t>
  </si>
  <si>
    <t>11.2022-12.2023</t>
  </si>
  <si>
    <t>Gmina Brańsk</t>
  </si>
  <si>
    <t>Gmina Miejska Kolno</t>
  </si>
  <si>
    <t>Remont ulicy Ogrodowej i ulicy Łaziennej wraz z niezbędną infrastrukturą w Kolnie</t>
  </si>
  <si>
    <t>Gmina Mały Płock</t>
  </si>
  <si>
    <t>Gmina Kolno</t>
  </si>
  <si>
    <t>Gmina Raczki</t>
  </si>
  <si>
    <t>Gmina Jedwabne</t>
  </si>
  <si>
    <t>05.2022-09.2023</t>
  </si>
  <si>
    <t>Rozbudowa drogi gminnej nr 108513B - ul. Armii Krajowej w mieście Hajnówka</t>
  </si>
  <si>
    <t>Przebudowa drogi do "Miejsca Świętego" w miejscowości Brzeźnica</t>
  </si>
  <si>
    <t>Przebudowa ulicy Jordyka, Bema i Olendry w miejscowości Filipów</t>
  </si>
  <si>
    <t>Przebudowa drogi gminnej nr 101892B ul. Wiszowatego - Etap III</t>
  </si>
  <si>
    <t>01.2022-11.2023</t>
  </si>
  <si>
    <t>Lista zadań rekomendowanych do dofinansowania w ramach Rządowego Funduszu Rozwoju Dróg</t>
  </si>
  <si>
    <t>Przebudowa drogi powiatowej nr 1246B Chilmony - Dubaśno wraz z wykonaniem obiektu inżynierskiego na terenie Gminy Nowy Dwór w Powiecie Sokólskim</t>
  </si>
  <si>
    <t>11.2021-02..2023</t>
  </si>
  <si>
    <t>Przebudowa drogi powiatowej nr 1249B Nowy Dwór - Kudrawka - Siderka - Sidra wraz z wykonaniem obiektu inżynierskiego k/m Siderka na terenie Gmin Nowy Dwór i Sidra w Powiecie Sokólskim</t>
  </si>
  <si>
    <t>11.2021-10.2023</t>
  </si>
  <si>
    <r>
      <t xml:space="preserve">Gmina Miejska Wysokie Mazowieckie </t>
    </r>
    <r>
      <rPr>
        <vertAlign val="superscript"/>
        <sz val="10"/>
        <color indexed="10"/>
        <rFont val="Arial"/>
        <family val="2"/>
        <charset val="238"/>
      </rPr>
      <t>x1)</t>
    </r>
  </si>
  <si>
    <r>
      <t xml:space="preserve">Gmina Grajewo </t>
    </r>
    <r>
      <rPr>
        <vertAlign val="superscript"/>
        <sz val="10"/>
        <color indexed="10"/>
        <rFont val="Arial"/>
        <family val="2"/>
        <charset val="238"/>
      </rPr>
      <t>x1)</t>
    </r>
  </si>
  <si>
    <r>
      <t xml:space="preserve">Gmina Łapy </t>
    </r>
    <r>
      <rPr>
        <vertAlign val="superscript"/>
        <sz val="10"/>
        <color indexed="10"/>
        <rFont val="Arial"/>
        <family val="2"/>
        <charset val="238"/>
      </rPr>
      <t>x1)</t>
    </r>
  </si>
  <si>
    <r>
      <t>Gmina Łapy</t>
    </r>
    <r>
      <rPr>
        <vertAlign val="superscript"/>
        <sz val="10"/>
        <color indexed="10"/>
        <rFont val="Arial"/>
        <family val="2"/>
        <charset val="238"/>
      </rPr>
      <t xml:space="preserve"> x1)</t>
    </r>
  </si>
  <si>
    <r>
      <t xml:space="preserve">Powiat Wysokomazowiecki </t>
    </r>
    <r>
      <rPr>
        <vertAlign val="superscript"/>
        <sz val="10"/>
        <color indexed="10"/>
        <rFont val="Arial"/>
        <family val="2"/>
        <charset val="238"/>
      </rPr>
      <t>x1)</t>
    </r>
  </si>
  <si>
    <r>
      <t xml:space="preserve">Powiat Bielski </t>
    </r>
    <r>
      <rPr>
        <vertAlign val="superscript"/>
        <sz val="10"/>
        <color indexed="10"/>
        <rFont val="Arial"/>
        <family val="2"/>
        <charset val="238"/>
      </rPr>
      <t>x1)</t>
    </r>
  </si>
  <si>
    <r>
      <t xml:space="preserve">Powiat Sokólski </t>
    </r>
    <r>
      <rPr>
        <vertAlign val="superscript"/>
        <sz val="10"/>
        <color indexed="10"/>
        <rFont val="Arial"/>
        <family val="2"/>
        <charset val="238"/>
      </rPr>
      <t>x1)</t>
    </r>
  </si>
  <si>
    <t>Przebudowa i rozbudowa drogi powiatowej nr 1253B na odcinku Dąbrowa Białostocka - Stock - Różanystok</t>
  </si>
  <si>
    <t>12.2021-08.2023</t>
  </si>
  <si>
    <t>10.2021-08.2023</t>
  </si>
  <si>
    <r>
      <t xml:space="preserve">Powiat Łomżyński </t>
    </r>
    <r>
      <rPr>
        <vertAlign val="superscript"/>
        <sz val="10"/>
        <color indexed="10"/>
        <rFont val="Arial"/>
        <family val="2"/>
        <charset val="238"/>
      </rPr>
      <t>x1)</t>
    </r>
  </si>
  <si>
    <t>12.2021-12.2023</t>
  </si>
  <si>
    <r>
      <t>Powiat Białostocki</t>
    </r>
    <r>
      <rPr>
        <vertAlign val="superscript"/>
        <sz val="10"/>
        <color indexed="10"/>
        <rFont val="Arial"/>
        <family val="2"/>
        <charset val="238"/>
      </rPr>
      <t xml:space="preserve"> x1)</t>
    </r>
  </si>
  <si>
    <r>
      <t xml:space="preserve">Powiat Łomżyński </t>
    </r>
    <r>
      <rPr>
        <vertAlign val="superscript"/>
        <sz val="10"/>
        <color indexed="10"/>
        <rFont val="Arial"/>
        <family val="2"/>
        <charset val="238"/>
      </rPr>
      <t>x2)</t>
    </r>
  </si>
  <si>
    <r>
      <t>Powiat Bielski</t>
    </r>
    <r>
      <rPr>
        <vertAlign val="superscript"/>
        <sz val="10"/>
        <color indexed="10"/>
        <rFont val="Arial"/>
        <family val="2"/>
        <charset val="238"/>
      </rPr>
      <t xml:space="preserve"> x1)</t>
    </r>
  </si>
  <si>
    <r>
      <t xml:space="preserve">Powiat Wysokomazowiecki </t>
    </r>
    <r>
      <rPr>
        <vertAlign val="superscript"/>
        <sz val="10"/>
        <color indexed="10"/>
        <rFont val="Arial"/>
        <family val="2"/>
        <charset val="238"/>
      </rPr>
      <t>x2)</t>
    </r>
  </si>
  <si>
    <t>03.2022-09.2023</t>
  </si>
  <si>
    <t>09.2022-09.2023</t>
  </si>
  <si>
    <t>08.2022-09.2024</t>
  </si>
  <si>
    <r>
      <t xml:space="preserve">Powiat Zambrowski </t>
    </r>
    <r>
      <rPr>
        <vertAlign val="superscript"/>
        <sz val="10"/>
        <color indexed="10"/>
        <rFont val="Arial"/>
        <family val="2"/>
        <charset val="238"/>
      </rPr>
      <t>x1)</t>
    </r>
  </si>
  <si>
    <t>08.2022-10.2023</t>
  </si>
  <si>
    <r>
      <t xml:space="preserve">Gmina Miejska Grajewo </t>
    </r>
    <r>
      <rPr>
        <vertAlign val="superscript"/>
        <sz val="10"/>
        <color indexed="10"/>
        <rFont val="Arial"/>
        <family val="2"/>
        <charset val="238"/>
      </rPr>
      <t>x1)</t>
    </r>
  </si>
  <si>
    <r>
      <t xml:space="preserve">Gmina Goniądz </t>
    </r>
    <r>
      <rPr>
        <vertAlign val="superscript"/>
        <sz val="10"/>
        <color indexed="10"/>
        <rFont val="Arial"/>
        <family val="2"/>
        <charset val="238"/>
      </rPr>
      <t>x1)</t>
    </r>
  </si>
  <si>
    <r>
      <t xml:space="preserve">Gmina Filipów </t>
    </r>
    <r>
      <rPr>
        <vertAlign val="superscript"/>
        <sz val="10"/>
        <color indexed="10"/>
        <rFont val="Arial"/>
        <family val="2"/>
        <charset val="238"/>
      </rPr>
      <t>x1)</t>
    </r>
  </si>
  <si>
    <t>12.2021-05.2024</t>
  </si>
  <si>
    <t>Przebudowa układu komunikacyjnego dróg gminnych o nr 103612B i 103614B na odcinku Staworowo - Pohorany - Krzysztoforowo w Gminie Sidra</t>
  </si>
  <si>
    <t>07.2022-09.2024</t>
  </si>
  <si>
    <t>07.2022-04.2024</t>
  </si>
  <si>
    <r>
      <t xml:space="preserve">Gmina Filipów </t>
    </r>
    <r>
      <rPr>
        <vertAlign val="superscript"/>
        <sz val="10"/>
        <color indexed="10"/>
        <rFont val="Arial"/>
        <family val="2"/>
        <charset val="238"/>
      </rPr>
      <t>x2)</t>
    </r>
  </si>
  <si>
    <t>04.2022-01.2024</t>
  </si>
  <si>
    <r>
      <t>Gmina Choroszcz</t>
    </r>
    <r>
      <rPr>
        <vertAlign val="superscript"/>
        <sz val="10"/>
        <color indexed="10"/>
        <rFont val="Arial"/>
        <family val="2"/>
        <charset val="238"/>
      </rPr>
      <t xml:space="preserve"> x2)</t>
    </r>
  </si>
  <si>
    <t>09.2022-11.2023</t>
  </si>
  <si>
    <r>
      <t xml:space="preserve">Gmina Drohiczyn </t>
    </r>
    <r>
      <rPr>
        <vertAlign val="superscript"/>
        <sz val="10"/>
        <color indexed="10"/>
        <rFont val="Arial"/>
        <family val="2"/>
        <charset val="238"/>
      </rPr>
      <t>x2)</t>
    </r>
  </si>
  <si>
    <r>
      <t xml:space="preserve">Gmina Dobrzyniewo Duże </t>
    </r>
    <r>
      <rPr>
        <vertAlign val="superscript"/>
        <sz val="10"/>
        <color indexed="10"/>
        <rFont val="Arial"/>
        <family val="2"/>
        <charset val="238"/>
      </rPr>
      <t>x2)</t>
    </r>
  </si>
  <si>
    <t>Przebudowa drogi gminnej Nr 105451 B w m. Borsukówka o długości 1,43km</t>
  </si>
  <si>
    <t>05.2022-05.2023</t>
  </si>
  <si>
    <r>
      <t xml:space="preserve">Gmina Choroszcz </t>
    </r>
    <r>
      <rPr>
        <vertAlign val="superscript"/>
        <sz val="10"/>
        <color indexed="10"/>
        <rFont val="Arial"/>
        <family val="2"/>
        <charset val="238"/>
      </rPr>
      <t>x2)</t>
    </r>
  </si>
  <si>
    <r>
      <t xml:space="preserve">Gmina Miejska Wysokie Mazowieckie </t>
    </r>
    <r>
      <rPr>
        <vertAlign val="superscript"/>
        <sz val="10"/>
        <color indexed="10"/>
        <rFont val="Arial"/>
        <family val="2"/>
        <charset val="238"/>
      </rPr>
      <t>x2)</t>
    </r>
  </si>
  <si>
    <t>03.2022-07.2023</t>
  </si>
  <si>
    <t>07.2022-11.2023</t>
  </si>
  <si>
    <r>
      <t xml:space="preserve">Gmina Miejska Kolno </t>
    </r>
    <r>
      <rPr>
        <vertAlign val="superscript"/>
        <sz val="10"/>
        <color indexed="10"/>
        <rFont val="Arial"/>
        <family val="2"/>
        <charset val="238"/>
      </rPr>
      <t>x1)</t>
    </r>
  </si>
  <si>
    <t>05.2022-06.2023</t>
  </si>
  <si>
    <t>Przebudowa drogi powiatowej nr 1602B ulica w miejscowości Czyże - ETAP III oraz ETAP IV</t>
  </si>
  <si>
    <t>07.2023 - 06.2024</t>
  </si>
  <si>
    <t>Przebudowa drogi powiatowej nr 2640B ul. Kolejowa w m.Kolno</t>
  </si>
  <si>
    <t>04.2023 - 11.2023</t>
  </si>
  <si>
    <t>05.2023 - 10.2023</t>
  </si>
  <si>
    <t>Rozbudowa drogi powiatowej nr 1716B na odcinku Nurczyk - Żerczyce</t>
  </si>
  <si>
    <t>04.2023 - 06.2024</t>
  </si>
  <si>
    <t>Przebudowa odcinka drogi powiatowej nr 1122B Bakałarzewo - Karasiewo - Konopki - Urbanki</t>
  </si>
  <si>
    <t>04.2023 - 12.2023</t>
  </si>
  <si>
    <t>Przebudowa i rozbudowa drogi powiatowej nr 1900B Piątnica - Czarnocin na odc. ok. 3200 m</t>
  </si>
  <si>
    <t>03.2023 - 11.2024</t>
  </si>
  <si>
    <t>Rozbudowa drogi powiatowej nr 1201B od dr. nr 1150B Bryzgiel - Macharce poprzez budowę ścieżki rowerowej na odcinku Gawrych Ruda - Bryzgiel</t>
  </si>
  <si>
    <t>05.2023 - 09.2023</t>
  </si>
  <si>
    <t>08.2023 - 08.2025</t>
  </si>
  <si>
    <t>06.2023 - 05.2024</t>
  </si>
  <si>
    <t>Rozbudowa drogi powiatowej Nr 1683B, 1679B, 1684B Podbiele - Dubiażyn</t>
  </si>
  <si>
    <t>Budowa drogi powiatowej w Sokółce o przebiegu od ulicy Mickiewicza do ulic Witosa i Mariańskiej</t>
  </si>
  <si>
    <t>08.2023 - 11.2025</t>
  </si>
  <si>
    <t>Przebudowa z rozbudową drogi powiatowej Nr 1466B na odcinku Hieronimowo - granica Gminy Michałowo - Etap I (Gm. Michałowo)</t>
  </si>
  <si>
    <t>10.2023 - 12.2024</t>
  </si>
  <si>
    <t>Rozbudowa drogi powiatowej Nr 2072B - ul. Białostocka w Wysokiem Mazowieckiem</t>
  </si>
  <si>
    <t>03.2023 - 10.2023</t>
  </si>
  <si>
    <t>Rozbudowa drogi powiatowej nr 1640B na terenie Narewka, powiat hajnowski na odcinku pomiędzy miejscowościami Narewka i Bernacki Most</t>
  </si>
  <si>
    <t>Przebudowa drogi powiatowej nr 1762B - budowa ciągu pieszego wraz z infrastrukturą towarzyszącą na ul. Wysokiej w Siemiatyczach</t>
  </si>
  <si>
    <t>04.2023 - 10.2023</t>
  </si>
  <si>
    <t>przebudowa odcinka drogi powiatowej nr 1135B Sidorówka - Sumowo - od drogi 1136B</t>
  </si>
  <si>
    <t>Przebudowa i rozbudowa drogi powiatowej nr 1911B Miastkowo - Rybaki odł. odc. ok. 990 m</t>
  </si>
  <si>
    <t>03.2023 - 02.2024</t>
  </si>
  <si>
    <t>Rozbudowa odcinka drogi powiatowej nr 1230B od drogi nr 1228B Jastrzębna Pierwsza - Nowa Kamienna - Stara Kamienna - Dąbrowa Białostocka</t>
  </si>
  <si>
    <t>Rozbudowa DP nr 1803B Grajewo - Uścianki - Flesze - Cyprki</t>
  </si>
  <si>
    <t>05.2023 - 11.2025</t>
  </si>
  <si>
    <t>Przebudowa i rozbudowa drogi powiatowej nr 1579B od skrzyżowania z drogą powiatową nr 1580B do skrzyżowania z droga gminną o nr geod. 511 w m. Pulsze</t>
  </si>
  <si>
    <t>11.2023 - 10.2024</t>
  </si>
  <si>
    <t>Przebudowa odcinka drogi powiatowej nr 1111B Filipów - Olszanka - Chachłuszki - Stara Chmielówka</t>
  </si>
  <si>
    <t>Przebudowa i rozbudowa drogi powiatowej nr 1954B Wszerzecz - Uśnik na odcinku o długości ok. 2700 m</t>
  </si>
  <si>
    <t>03.2023 - 11.2023</t>
  </si>
  <si>
    <t>Rozbudowa drogi powiatowej nr 1234B Gruszki - Rubcowo - Skieblewo - do drogi nr 664, dł. odcinka 1,0 km</t>
  </si>
  <si>
    <t>05.2023 - 08.2023</t>
  </si>
  <si>
    <t>Przebudowa DP nr 1787B na odcinkach w m. czarna Wieś i Tama z budową kładki pieszo-rowerowej na Kanale Kuwaskim</t>
  </si>
  <si>
    <t>Przebudowa i rozbudowa drogi powiatowej Nr 1699B Brzeźnica - Szmurły</t>
  </si>
  <si>
    <t>07.2023 - 06.2025</t>
  </si>
  <si>
    <t>Rozbudowa ul. Targowej w Sokółce w ciągu drogi powiatowej nr 1303B</t>
  </si>
  <si>
    <t>Przebudowa z rozbudową drogi powiatowej Nr 1380B Tykocin - Złotoria Etap III (Gm. Tykocin)</t>
  </si>
  <si>
    <t>Przebudowa odcinka drogi powiatowej nr 1154B Węgielnia - Bilwinowo - Kaletnik</t>
  </si>
  <si>
    <t>Przebudowa drogi powiatowej nr 1889B na odcinku Poredy - Dobry Las o dł. ok. 1500 m</t>
  </si>
  <si>
    <t>Rozbudowa i przebudowa drogi powiatowej nr 2385B ul. Zabrodzie w Sokółce</t>
  </si>
  <si>
    <t>Rozbudowa drogi powiatowej Nr 1429B na odcinku Ciasne - Ogrodniczki (Gm. Supraśl)</t>
  </si>
  <si>
    <t>Gmina Miejska Bielsk Podlaski</t>
  </si>
  <si>
    <t>Przebudowa ul. Różanej w Bielsku Podlaskim</t>
  </si>
  <si>
    <t>05.2023 - 11.2023</t>
  </si>
  <si>
    <t>Przebudowa drogi wewnętrznej od drogi powiatowej do działki nr 298/9 w obrębie Błaskowizna, gmina Jeleniewo</t>
  </si>
  <si>
    <t>08.2023 - 11.2023</t>
  </si>
  <si>
    <t>Gmina Wizna</t>
  </si>
  <si>
    <t>Przebudowa drogi wewnętrznej - ul. Srebrzystej w Wiźnie</t>
  </si>
  <si>
    <t>12.2023 - 11.2024</t>
  </si>
  <si>
    <t>Przebudowa odcinka drogi gminnej Nr 105625B - ul. Obrońców Wizny w Wiźnie</t>
  </si>
  <si>
    <t>Gmina Szypliszki</t>
  </si>
  <si>
    <t>Przebudowa drogi we wsiach Żubryn, Polule</t>
  </si>
  <si>
    <t>Przebudowa z rozbudową drogi gminnej nr 105661B Drożęcin Stary - Rogienice we wsi Stary Drożęcin</t>
  </si>
  <si>
    <t>01.2023 - 09.2023</t>
  </si>
  <si>
    <t>Rozbudowa drogi gminnej Nr 103677B - ul. Podlipska w m. Kuźnica</t>
  </si>
  <si>
    <t>Rozbudowa drogi gminnej Nr 103653B w m. Klimówka</t>
  </si>
  <si>
    <t>Przebudowa drogi gminnej Nr 107451B na odcinku: Ploski-droga krajowa nr 19</t>
  </si>
  <si>
    <t>Rozbudowa drogi gminnej nr 135505B tajno Łanowe - Tajno Podjeziorne, Gmina Bargłów Kościelny</t>
  </si>
  <si>
    <t>Rozbudowa drogi gminnej nr 102382B w miejscowości Małe Raczki, Gmina Raczki</t>
  </si>
  <si>
    <t>09.2023 - 10.2024</t>
  </si>
  <si>
    <t>Przebudowa drogi gminnej nr 103601B na odcinku Bierwicha - Wólka</t>
  </si>
  <si>
    <t>04.2023 - 12.2024</t>
  </si>
  <si>
    <t>Przebudowa drogi w miejscowości Waśki</t>
  </si>
  <si>
    <t>06.2023 - 11.2023</t>
  </si>
  <si>
    <t>Przebudowa drogi w miejscowości Michałki</t>
  </si>
  <si>
    <t>02.2023 - 10.2023</t>
  </si>
  <si>
    <t>Budowa ul. Żurawiej wraz z niezbędną infrastrukturą techniczną w Kolnie</t>
  </si>
  <si>
    <t>Przebudowa drogi gminnej Granne NCT</t>
  </si>
  <si>
    <t>Przebudowa drogi gminnej nr 104185B od drogi powiatowej nr 1820B do miejscowości Niebrzydy gmina Wąsosz</t>
  </si>
  <si>
    <t>01.2023 - 12.2023</t>
  </si>
  <si>
    <t>Przebudowa drogi gminnej wewnętrznej we wsi Kiełcze Kopki</t>
  </si>
  <si>
    <t>07.2023 - 12.2023</t>
  </si>
  <si>
    <t>Przebudowa drogi gminnej w miejscowości Wierzchuca Nagórna na terenie Gminy Drohiczyn w formule "zaprojektuj i wybuduj"</t>
  </si>
  <si>
    <t>03.2023 - 12.2023</t>
  </si>
  <si>
    <t>Gmina Szczuczyn</t>
  </si>
  <si>
    <t>Przebudowa ulicy Łąkowej w Szczuczynie</t>
  </si>
  <si>
    <t>Gmina Mielnik</t>
  </si>
  <si>
    <t>Przebudowa drogi gminnej Nr 109602B - ul. Szpitalnej w Niemirowie</t>
  </si>
  <si>
    <t>Przebudowa drogi gminnej nr 103461B Bachmackie - Sadowo</t>
  </si>
  <si>
    <t>Przebudowa drogi gminnej nr 105080B i drogi gminnej nr 143500B w miejscowości Załuki, gmina Gródek</t>
  </si>
  <si>
    <t>02.2023 - 08.2024</t>
  </si>
  <si>
    <t>Przebudowa ul. Łąkowej w Niewodnicy Kościelnej na odcinku 529 mb</t>
  </si>
  <si>
    <t>Przebudowa drogi gminnej Nr 108239B Kiersnowo - Dębowo</t>
  </si>
  <si>
    <t>11.2023 - 10.2025</t>
  </si>
  <si>
    <t>03.2023 - 09.2023</t>
  </si>
  <si>
    <t>Przebudowa drogi w miejscowości Pieńki Borowe</t>
  </si>
  <si>
    <t>10.2023 - 09.2024</t>
  </si>
  <si>
    <t>Rozbudowa drogi gminnej nr 106863B na odcinku Kudrycze - Żuki na terenie gminy Zabłudów</t>
  </si>
  <si>
    <t>02.2023 - 12.2023</t>
  </si>
  <si>
    <t>Remont drogi gminnej Nr 108865B relacji Koce-Piskuły - Koce-Schaby</t>
  </si>
  <si>
    <t>Przebudowa drogi gminnej Nr 101946B i drogi wewnętrznej w miejscowości Kotowina</t>
  </si>
  <si>
    <t>Przebudowa drogi nr 166505B Zielone Kamedulskie - Wychodne, gm. Suwałki</t>
  </si>
  <si>
    <t>Przebudowa z rozbudową drogi gminnej nr 105753B ulica Wiejska we wsi Stara Łomża przy szosie - etap II</t>
  </si>
  <si>
    <t>10.2023 - 11.2025</t>
  </si>
  <si>
    <t>Przebudowa drogi gminnej nr 105837B we wsi Jankowo Skarbowo</t>
  </si>
  <si>
    <t>01.2023 - 11.2023</t>
  </si>
  <si>
    <t>Przebudowa z rozbudową drogi gminnej Nr 103311B relacji Wojewodzin - Łękowo</t>
  </si>
  <si>
    <t>06.2023 - 10.2024</t>
  </si>
  <si>
    <t>Przebudowa ul. Strażackiej i Senatorskiej wraz z niezbędną infrastrukturą techniczną w Kolnie</t>
  </si>
  <si>
    <t>Przebudowa drogi gminnej Kobyla - Głody</t>
  </si>
  <si>
    <t>Przebudowa drogi gminnej we wsi Kozioł</t>
  </si>
  <si>
    <t>Przebudowa drogi Chechłowo - Obniże na terenie Gminy Drohiczyn w formule "zaprojektuj i wybuduj"</t>
  </si>
  <si>
    <t>Przebudowa drogi w miejscowości Kucze Małe</t>
  </si>
  <si>
    <t>Budowa i przebudowa drogi gminnej w miejscowości Dmochy Rodzonki</t>
  </si>
  <si>
    <t>02.2023 - 11.2023</t>
  </si>
  <si>
    <t>Przebudowa ulicy Polnej w Nurcu - Stacji</t>
  </si>
  <si>
    <t>Przebudowa drogi gminnej Nr 101936B w miejscowości Podwólczanka</t>
  </si>
  <si>
    <t>Przebudowa drogi wewnetrznej w msc. Turówka Stara, gm. Suwałki</t>
  </si>
  <si>
    <t>Przebudowa z rozbudową drogi gminnej nr 105734B, ul. Spokojna we wsi Giełczyn - etap II</t>
  </si>
  <si>
    <t>Gmina Grabowo</t>
  </si>
  <si>
    <t>Przebudowa części drogi gminnej (dz. nr ew. 133 i cz. Dz. 134) o dł. 735 m w miejscowości Ciemianka (Kolonia Jadłówek)</t>
  </si>
  <si>
    <t>04.2023 - 04.2025</t>
  </si>
  <si>
    <t>Przebudowa drogi gminnej w miejscowości Grądy-Michały w gminie Grabowo</t>
  </si>
  <si>
    <t>04.2023 - 04.2024</t>
  </si>
  <si>
    <t>Przebudowa ul. Strażackiej w Łapach</t>
  </si>
  <si>
    <t>05.2023 - 04.2024</t>
  </si>
  <si>
    <t>Przebudowa drogi gminnej nr 107688B w miejscowości Dąbrowa-Dołęgi</t>
  </si>
  <si>
    <t>Gmina Szumowo</t>
  </si>
  <si>
    <t>Gmina Choroszcz</t>
  </si>
  <si>
    <t>Gmina Wasilków</t>
  </si>
  <si>
    <t>Przebudowa drogi we wsiach Grauże Stare, Zaboryszki</t>
  </si>
  <si>
    <t>Przebudowa drogi gminnej nr 104491B Zalesie - Korzeniste</t>
  </si>
  <si>
    <t>03.2023 - 10.2024</t>
  </si>
  <si>
    <t>Rozbudowa drogi gminnej nr 107957B w miejscowości Osipy-Kolonia, Osipy-Wydziory Pierwsze, Osipy-Zakrzewizna</t>
  </si>
  <si>
    <t>Przebudowa ul. Łabno Małe wraz z niezbędną infrastrukturą techniczną w Kolnie</t>
  </si>
  <si>
    <t>Przebudowa drogi gminnej Perlejewo - Leszczka Mała - Wiktorowo</t>
  </si>
  <si>
    <t>06.2023 - 10.2023</t>
  </si>
  <si>
    <t>Przebudowa drogi gminnej we wsi Tyszki Wądołowo</t>
  </si>
  <si>
    <t>07.2023 - 08.2024</t>
  </si>
  <si>
    <t>Przebudowa ul. Trakt Napoleoński w Niewodnicy Kościelnej</t>
  </si>
  <si>
    <t>Przebudowa drogi w miejscowości Witynie</t>
  </si>
  <si>
    <t>Budowa drogi gminnej nr 106558B w miejscowości Łapy - Łynki - II etap</t>
  </si>
  <si>
    <t>07.2023 - 03.2025</t>
  </si>
  <si>
    <t>Przebudowa drogi gminnej nr 106543B Płonka Matyski - Gąsówka-Somachy</t>
  </si>
  <si>
    <t>06.2023 - 02.2025</t>
  </si>
  <si>
    <t>Przebudowa drogi gminnej w Rosochatem Kościelnem</t>
  </si>
  <si>
    <t>Przebudowa drogi gminnej w miejscowości Szulborze Kozy</t>
  </si>
  <si>
    <t>Rozbudowa drogi gminnej Stare Guty - Kowalewo nr 104262B</t>
  </si>
  <si>
    <t>09.2023 - 09.2025</t>
  </si>
  <si>
    <t>Przebudowa drogi nr ewid. 981 ul. Wińska w Ciechanowcu</t>
  </si>
  <si>
    <t>Przebudowa drogi gminnej ul. Ralkowa i do ul. Uszyńskiej w Ciechanowcu</t>
  </si>
  <si>
    <t>05.2023 - 06.2024</t>
  </si>
  <si>
    <t>Rozbudowa drogi gminnej nr 102013B oraz przebudowa drogi wewnętrznej w msc. Taciewo, gm. Suwałki</t>
  </si>
  <si>
    <t>06.2023 - 12.2024</t>
  </si>
  <si>
    <t>Powiat sejneński</t>
  </si>
  <si>
    <t>Gmina Krypno</t>
  </si>
  <si>
    <t>Rozbudowa drogi gminnej Nr 104750B Ruda - Góra</t>
  </si>
  <si>
    <t>05.2023 - 11.2024</t>
  </si>
  <si>
    <t xml:space="preserve">Gmina Dobrzyniewo Duże </t>
  </si>
  <si>
    <t>Przebudowa drogi gminnej Nr 105458B na odcinku Kulikówka - Chraboły o długości 1,4 km</t>
  </si>
  <si>
    <t>05.2023 - 08.2024</t>
  </si>
  <si>
    <t>Przebudowa drogi gminnej nr 106265B na odcinku od drogi powiatowej nr 1543B do mostu na rzece Czaplinianka</t>
  </si>
  <si>
    <t>04.2023 - 09.2024</t>
  </si>
  <si>
    <t>Gmina Michałowo</t>
  </si>
  <si>
    <t>Przebudowa dróg gminnych 107001B Podozierany - Romanowo 107016B Jałówka - Wiejki</t>
  </si>
  <si>
    <t>Gmina Sokółka</t>
  </si>
  <si>
    <t>Przebudowa ul. Witosa i ul. Mickiewicza w Sokółce wraz z infrastrukturą towarzyszącą w formule zaprojektuj i wybuduj</t>
  </si>
  <si>
    <t>09.2023 - 12.2024</t>
  </si>
  <si>
    <t>Gmina Krasnopol</t>
  </si>
  <si>
    <t>Przebudowa ulicy Wasilkowskiej i Brzozowej w Nowodworcach</t>
  </si>
  <si>
    <t>Gmina Dąbrowa Białostocka</t>
  </si>
  <si>
    <t>Przebudowa drogi gminnej 103517B Suchodolina - Wiązówka na terenach wiejskich gminy Dąbrowa Białostocka</t>
  </si>
  <si>
    <t>Gmina Sztabin</t>
  </si>
  <si>
    <t>Przebudowa drogi gminnej Nr 167522B "Droga powiatowa Nr 1228B - Jasionowo Kolonie"</t>
  </si>
  <si>
    <t>07.2023 - 05.2024</t>
  </si>
  <si>
    <t>Gmina Juchnowiec Kościelny</t>
  </si>
  <si>
    <t>Rozbudowa drogi gminnej Nr 106773B Hryniewicze - Koplany oraz przebudowa drogi gminnej Nr 106846B</t>
  </si>
  <si>
    <t>07.2023 - 10.2024</t>
  </si>
  <si>
    <t>Gmina Stawiski</t>
  </si>
  <si>
    <t>Przebudowa i rozbudowa drogi gminnej Żelazki - Mieczki Sucholaszczki - Mieczki Pieniążki</t>
  </si>
  <si>
    <t>Gmina Czarna Białostocka</t>
  </si>
  <si>
    <t>Przebudowa z budową drogi gminnej ul. Młynowa - Machnacza - granica gminy wraz z niezbędną infrastrukturą techniczną</t>
  </si>
  <si>
    <t>04.2023 - 11.2024</t>
  </si>
  <si>
    <t>Remont drogi powiatowej nr 1786B Mielnik - Wajków</t>
  </si>
  <si>
    <t xml:space="preserve">Przebudowa odcinka drogi powiatowej nr 1153B Suwałki - Okuniowiec - Kaletnik - Wiatrołuża - Zaboryszki  </t>
  </si>
  <si>
    <t>Przebudowa odcinka drogi powiatowej nr 1150B Krzywe - Sobolewo - Płociczno - Gawrych Ruda - Słupie</t>
  </si>
  <si>
    <t>Przebudowa i rozbudowa drogi powiatowej nr 1940B w m. Milewo na odc. o dł. 520m wraz z budową obiektu mostowego</t>
  </si>
  <si>
    <t>03.2023 - 06.2024</t>
  </si>
  <si>
    <t>Remont drogi powiatowej nr 1829B Romany - do dr 648 o dł. ok. 550 m</t>
  </si>
  <si>
    <t>Remont drogi powiatowej nr 1834B w m. Supy o dł. ok.. 490 m</t>
  </si>
  <si>
    <t>Przebudowa dróg powiatowych nr 1912B, 2610B oraz 2648B w obrębie m. Nowogród na odcinkach o łącznej długości ok. 740 m</t>
  </si>
  <si>
    <t>Przebudowa drogi powiatowej nr 1962B Wizna - Srebrowo dł. ok. 2080 m</t>
  </si>
  <si>
    <t>Przebudowa z rozbudową drogi powiatowej Nr 1562B na odcinku droga 681 - Kamińskie Wiktory na terenie Gminy Łapy i Gminy Poświętne</t>
  </si>
  <si>
    <t>Przebudowa z rozbudową drogi powiatowej Nr 1549B na odcinku ul. Kolejowej w Klepaczach (Gm. Choroszcz)</t>
  </si>
  <si>
    <t>Przebudowa z rozbudową drogi powiatowej Nr 1541B Zaczerlany - Gajowniki-Kolonia Etap II (Gm. Choroszcz)</t>
  </si>
  <si>
    <t>Przebudowa z rozbudową drogi powiatowej Nr 1969B na odcinku Łaś Toczyłowo - Rudniki (Gm. Zawady)</t>
  </si>
  <si>
    <t>Przebudowa z rozbudową drogi powiatowej Nr 1472B w miejscowości Tatarowce (Gm. Zabłudów)</t>
  </si>
  <si>
    <t>Przebudowa z rozbudową drogi powiatowej Nr 1501B (Gm. Turośń Kościelna)</t>
  </si>
  <si>
    <t>Przebudowa drogi powiatowej Nr 1385B na długości ul. Lipowej w Dobrzyniewie Dużym wraz z rozbudową skrzyżowania z ul. Białostocką (Gm. Dobrzyniewo Duże)</t>
  </si>
  <si>
    <t>Przebudowa z rozbudową drogi powiatowej Nr 1427B na odcinku Wasilków - Nowodworce (Gm. Wasilków)</t>
  </si>
  <si>
    <t>Przebudowa z rozbudową drogi powiatowej Nr 1482B na odcinku Kaniuki do drogi gminnej Nr 106860B (Gm. Zabłudów)</t>
  </si>
  <si>
    <t>Powiat Moniecki</t>
  </si>
  <si>
    <t>Powiat Sejneński</t>
  </si>
  <si>
    <t>Przebudowa drogi powiatowej Nr 1163B Sejwy - Widugiery - Sankury</t>
  </si>
  <si>
    <t>Rozbudowa drogi powiatowej Nr 2084B na odc. Siennica Święchy - Dąbrowa Nowa Wieś</t>
  </si>
  <si>
    <t>Przebudowa drogi powiatowej Nr 1206B Głęboki Bród - Strzelcowizna - Gorczyca</t>
  </si>
  <si>
    <t>Przebudowa drogi powiatowej Nr 1596B Stryki - do drogi wojewódzkiej Nr 659</t>
  </si>
  <si>
    <t>08.2023 - 07.2024</t>
  </si>
  <si>
    <t>Rozbudowa drogi powiatowej Nr 1404B na odcinku m. Ciesze do m. Przytulanka</t>
  </si>
  <si>
    <t>Miasto Suwałki</t>
  </si>
  <si>
    <t>Budowa ulicy Hiszpańskiej w Suwałkach</t>
  </si>
  <si>
    <t>Budowa ulic: 41 pułku Piechoty, Powstańców Śląskich i Kawaleryjskiej w rejonie ulicy Powstańców Wielkopolskich w Suwałkach</t>
  </si>
  <si>
    <t>Rozbudowa ciągu drogowego drogi powiatowej nr 2361B ul. Mickiewicza w Mońkach oraz drogi powiatowej nr 1404B na odcinku ul. Mickiewicza - m. Ciesze</t>
  </si>
  <si>
    <t>Gmina Mońki</t>
  </si>
  <si>
    <t>Przebudowa drogi gminnej od DK 65 do wsi Magnusze (Kolonia)</t>
  </si>
  <si>
    <t>Przebudowa drogi powiatowej nr 1777B ulicy Kleszczelowskiej w miejscowości Dobrowoda gmina Kleszczele powiat Hajnowski województwo Podlaskie</t>
  </si>
  <si>
    <t>Gmina Miejska Wysokie Mazowieckie</t>
  </si>
  <si>
    <t>Przebudowa ul. Plac Odrodzenia w Wysokiem Mazowieckiem - poprawa bezpieczeństwa i przepustowości ruchu</t>
  </si>
  <si>
    <t>Gmina Puńsk</t>
  </si>
  <si>
    <t>Przebudowa ul. Polnej w miejscowości Puńsk</t>
  </si>
  <si>
    <t>Miasto Łomża</t>
  </si>
  <si>
    <t>Przebudowa drogi gminnej nr 101038B ul. Kasztelańskiej w Łomży</t>
  </si>
  <si>
    <t>Przebudowa drogi gminnej nr 104504B Mały Płock ul. Krótka</t>
  </si>
  <si>
    <t>Przebudowa drogi gminnej nr 106179B ul. Żytnia w Rutkach-Kossakach</t>
  </si>
  <si>
    <t>Przebudowa drogi gminnej w miejscowości Osipy-Wydziory Drugie</t>
  </si>
  <si>
    <t>Przebudowa drogi gminnej wraz z przebudową zjazdu na drogę powiatową Nr 1392B</t>
  </si>
  <si>
    <t>Przebudowa drogi gminnej nr 105461B w m. Szaciły wraz z przebudową skrzyżowania z drogą powiatową Nr 1396B</t>
  </si>
  <si>
    <t>Budowa drogi gminnej od ul. Sienkiewicza do ul. Branickiego w Choroszczy wraz z rozbudową ulicy Branickiego i budową mostu na rzece Horodnianka</t>
  </si>
  <si>
    <t>04.2023 - 10.2024</t>
  </si>
  <si>
    <t>Przebudowa ulicy Wiejskiej w Oliszkach, gm. Choroszcz wraz przebudową niezbędnej infrastruktury technicznej</t>
  </si>
  <si>
    <t>Budowa drogi gminnej na odcinku Choroszcz - Zastawie II - Barszczewo od drogi powiatowej Nr 1535B do drogi powiatowej Nr 1548B</t>
  </si>
  <si>
    <t>Gmina Janów</t>
  </si>
  <si>
    <t>Przebudowa drogi gminnej Nr 103925B</t>
  </si>
  <si>
    <t>03.2023 - 08.2023</t>
  </si>
  <si>
    <t>Remont dróg gminnych na terenie gminy Szumowo</t>
  </si>
  <si>
    <t>Rozbiórka istniejacego mostu, budowa nowego mostu w ciagu ul. Marii Skłodowskiej - Curie w Sokółce wraz z niezbędnymi dojazdami i towarzyszącą infrastrukturą techniczną</t>
  </si>
  <si>
    <t>Przebudowa dróg gminnych nr 102055B i nr 101737B w miejscowościach Murowany Most i Rudawka</t>
  </si>
  <si>
    <t>Budowa ul. Dolnej w Wasilkowie</t>
  </si>
  <si>
    <t>08.2023 - 12.2023</t>
  </si>
  <si>
    <t>Rozbudowa ulicy C. K. Norwida oraz ul. J. Kochanowskiego w miejscowości Gąsówka Stara, gm. Łapy</t>
  </si>
  <si>
    <t>06.2023 - 04.2024</t>
  </si>
  <si>
    <t>Gmina Suraż</t>
  </si>
  <si>
    <t>2002103</t>
  </si>
  <si>
    <t>Przebudowa drogi gminnej Nr 132008B w miejscowości Zawyki - Ferma, gmina Suraż</t>
  </si>
  <si>
    <t>08.2023 - 12.2024</t>
  </si>
  <si>
    <t>Przebudowa drogi gminnej Nr 167606B "Droga przez wieś Kopiec"</t>
  </si>
  <si>
    <t>Przebudowa drogi na odcinku ulicy Słonecznej w Grabowie</t>
  </si>
  <si>
    <t>Przebudowa drogi gminnej Nr 108873B w miejscowości Radziszewo-Króle</t>
  </si>
  <si>
    <t>Przebudowa drogi gminnej nr 106184B ul. Młynarska w Rutkach Kossakach</t>
  </si>
  <si>
    <t>10.2023 - 11.2024</t>
  </si>
  <si>
    <t>Przebudowa drogi gminnej na działkach 269/1, 269/2, 269/3, 340 w miejscowości Mężenin</t>
  </si>
  <si>
    <t>Gmina Miejska Augustów</t>
  </si>
  <si>
    <t>2006000</t>
  </si>
  <si>
    <t>2008000</t>
  </si>
  <si>
    <t>2010000</t>
  </si>
  <si>
    <t>2013000</t>
  </si>
  <si>
    <t>2014000</t>
  </si>
  <si>
    <t>Przebudowa z rozbudową ul. Podleśnej w Czarnej Białostockiej wraz ze zjazdami i niezbędną infrastrukturą techniczną</t>
  </si>
  <si>
    <t>* Kwota dofinansowania  zmniejszona do limitu dostępnych środków Rządowego Funduszu Rozwoju Dróg; zwiększenie dofinansowania możliwe w przypadku wystąpienia oszczędności. W przypadku braku oszczędności w Funduszu, realizacja zadania będzie wymagała zabezpieczenia wkładu własnego wnioskodawcy w większej wysokości.</t>
  </si>
  <si>
    <t>* Kwota dofinansowania zadań wieloletnich zmniejszona do limitu dostępnych środków Rządowego Funduszu Rozwoju Dróg; zwiększenie dofinansowania możliwe w przypadku wystąpienia oszczędności. W przypadku braku oszczędności w Funduszu, realizacja zadania będzie wymagała zabezpieczenia wkładu własnego wnioskodawcy w większej wysokości.</t>
  </si>
  <si>
    <t>Rozbudowa i przebudowa drogi powiatowej nr 2384B ulica Górna w Sokółce poprzez wykonanie ciągu pieszo-rowerowego</t>
  </si>
  <si>
    <t>Przebudowa drogi powiatowej nr 2609B ul. Łomżyńska w m. Nowogród o dł. ok. 620m</t>
  </si>
  <si>
    <r>
      <t xml:space="preserve">Powiat Hajnowski </t>
    </r>
    <r>
      <rPr>
        <vertAlign val="superscript"/>
        <sz val="10"/>
        <color indexed="10"/>
        <rFont val="Arial"/>
        <family val="2"/>
        <charset val="238"/>
      </rPr>
      <t>x2)</t>
    </r>
  </si>
  <si>
    <t>10.2022-10.2023</t>
  </si>
  <si>
    <t>Przebudowa z rozbudową drogi powiatowej Nr 149B Hryniewicze - Olmonty (Gm. Juchnowiec Kościelny)</t>
  </si>
  <si>
    <r>
      <t xml:space="preserve">Gmina Miejska Grajewo </t>
    </r>
    <r>
      <rPr>
        <vertAlign val="superscript"/>
        <sz val="10"/>
        <color indexed="10"/>
        <rFont val="Arial"/>
        <family val="2"/>
        <charset val="238"/>
      </rPr>
      <t>x2)</t>
    </r>
  </si>
  <si>
    <t>08.2021-06.2023</t>
  </si>
  <si>
    <r>
      <t xml:space="preserve">Gmina Sidra </t>
    </r>
    <r>
      <rPr>
        <vertAlign val="superscript"/>
        <sz val="10"/>
        <color indexed="10"/>
        <rFont val="Arial"/>
        <family val="2"/>
        <charset val="238"/>
      </rPr>
      <t>x2)</t>
    </r>
  </si>
  <si>
    <t>08.2022-12.2023</t>
  </si>
  <si>
    <t>11.2022-08.2023</t>
  </si>
  <si>
    <r>
      <t xml:space="preserve">Gmina Nowogród </t>
    </r>
    <r>
      <rPr>
        <vertAlign val="superscript"/>
        <sz val="10"/>
        <color indexed="10"/>
        <rFont val="Arial"/>
        <family val="2"/>
        <charset val="238"/>
      </rPr>
      <t>x1)</t>
    </r>
  </si>
  <si>
    <t>11.2022-06.2023</t>
  </si>
  <si>
    <r>
      <t xml:space="preserve">Gmina Rutki </t>
    </r>
    <r>
      <rPr>
        <vertAlign val="superscript"/>
        <sz val="10"/>
        <color indexed="10"/>
        <rFont val="Arial"/>
        <family val="2"/>
        <charset val="238"/>
      </rPr>
      <t>x2)</t>
    </r>
  </si>
  <si>
    <t>11.2022-09.2023</t>
  </si>
  <si>
    <r>
      <t xml:space="preserve">Gmina Turośń Kościelna </t>
    </r>
    <r>
      <rPr>
        <vertAlign val="superscript"/>
        <sz val="10"/>
        <color indexed="10"/>
        <rFont val="Arial"/>
        <family val="2"/>
        <charset val="238"/>
      </rPr>
      <t>x2)</t>
    </r>
  </si>
  <si>
    <r>
      <t xml:space="preserve">Gmina Turośń Kościelna </t>
    </r>
    <r>
      <rPr>
        <vertAlign val="superscript"/>
        <sz val="10"/>
        <color indexed="10"/>
        <rFont val="Arial"/>
        <family val="2"/>
        <charset val="238"/>
      </rPr>
      <t>x1)</t>
    </r>
  </si>
  <si>
    <t>11.2022-07.2023</t>
  </si>
  <si>
    <t>Budowa węzła komunikacyjnego na terenach inwestycyjnych w ciągu drogi powiatowej Nr 2025B</t>
  </si>
  <si>
    <r>
      <t xml:space="preserve">Gmina Szumowo </t>
    </r>
    <r>
      <rPr>
        <vertAlign val="superscript"/>
        <sz val="10"/>
        <color indexed="10"/>
        <rFont val="Arial"/>
        <family val="2"/>
        <charset val="238"/>
      </rPr>
      <t>x1)</t>
    </r>
  </si>
  <si>
    <t>Rozbudowa drogi gminnej nr 106166B Zambrzyce-Króle - Zambrzyce-Plewki</t>
  </si>
  <si>
    <t>Budowa drogi od ul. Ludowej do Alei Niepodległości w Wysokiem Mazowieckiem</t>
  </si>
  <si>
    <t>05.2022-10.2023</t>
  </si>
  <si>
    <t>Budowa drogi gminnej ul. Nadbrzeżnej w Augustowie</t>
  </si>
  <si>
    <t>Rozbudowa drogi powiatowej nr 1898B na odcinku Mały Płock - Mściwuje</t>
  </si>
  <si>
    <t>Przebudowa ul. Chmielnej w Bielsku Podlaskim od skrzyżowania z ulicą Batorego do skrzyżowania z ulicą Rumiankową</t>
  </si>
  <si>
    <t>Przebudowa drogi powiatowej Nr 1484B w m. Wojszki (Gm. Juchnowiec Kościelny)</t>
  </si>
  <si>
    <t>Rozbudowa i przebudowa drogi powiatowej nr 1686B Gredele - Gredele Kolonia - do skrzyżowania z drogą gminną nr 108273B</t>
  </si>
  <si>
    <t>Przebudowa z rozbudową drogi powiatowej Nr 1498B w m. Szerenosy (Gm. Juchnowiec Kościelny)</t>
  </si>
  <si>
    <t>Remont ciągu dróg powiatowych Nr 1993 - ulica rtm. W. Pileckiego i Nr 2680B - ulica Wilsona w Zambrowie na odcinku od skrzyżowania z ulicą Żytnią do zjazdu na ulicę Łomżyńską</t>
  </si>
  <si>
    <t>Remont drogi powiatowej nr 1728B na odcinku Minczewo - Wierzchuca Nagórna</t>
  </si>
  <si>
    <t>Rozbudowa drogi powiatowej Nr 1416B Monki - Goniądz</t>
  </si>
  <si>
    <t>Remont drogi powiatowej Nr 1550B na odcinku ul. Niewodnickiej w Klepaczach (Gm. Choroszcz)</t>
  </si>
  <si>
    <t>Remont drogi powiatowej Nr 2065B na odc. Jabłoń Spały - Rzące</t>
  </si>
  <si>
    <t>Przebudowa odcinka ul. Jagiellońskiej w Wysokiem Mazowieckiem w celu poprawy bezpieczeństwa ruchu pieszego i kołowego</t>
  </si>
  <si>
    <t>Przebudowa drogi gminnej nr 105854B - ul. Łomżyńska</t>
  </si>
  <si>
    <t>Przebudowa ul. Łąkowej w Studziankach</t>
  </si>
  <si>
    <t>Przebudowa drogi gminnej nr 106871B w Folwarkach Tylwickich gmina Zabłudów</t>
  </si>
  <si>
    <t>Przebudowa drogi gminnej nr 103552B w Dąbrowie Białostockiej</t>
  </si>
  <si>
    <t>Przebudowa drogi gminnej Nr 102833B "Cisów - Kryłatka - Balinka" na terenie wsi Kryłatka</t>
  </si>
  <si>
    <t>Przebudowa ulic: Sokólskiej, Kolejowej, Orzeszkowej i Ochotniczej w Czarnej Białostockiej wraz z budową nowej i niezbędną przebudową istniejącej infrastruktury cz. II</t>
  </si>
  <si>
    <t>Budowa ulicy Zakole, Krzywej i Prostej w Augustowie</t>
  </si>
  <si>
    <t>Gmina Zambrów</t>
  </si>
  <si>
    <t>Rozbudowa dróg gminnych nr 106033B  i 106032B, w miejscowościach Rykacze i Nowy Laskowiec, gmina Zambrów</t>
  </si>
  <si>
    <t>Gmina Nowy Dwór</t>
  </si>
  <si>
    <t>Przebudowa drogi gminnej nr 103585B Chilmony - Bobra Wielka na terenie gminy Nowy Dwór</t>
  </si>
  <si>
    <t>Budowa ulicy Diamentowej w Krupnikach</t>
  </si>
  <si>
    <t>Gmina Supraśl</t>
  </si>
  <si>
    <t>Budowa ul. Szpaczej i ul. Niedźwiedziej w Sobolewie</t>
  </si>
  <si>
    <t>2002023</t>
  </si>
  <si>
    <t>2013011</t>
  </si>
  <si>
    <r>
      <t>Dofinansowanie przyznane w naborze</t>
    </r>
    <r>
      <rPr>
        <b/>
        <sz val="10"/>
        <color theme="1"/>
        <rFont val="Times New Roman"/>
        <family val="1"/>
        <charset val="238"/>
      </rPr>
      <t>:</t>
    </r>
    <r>
      <rPr>
        <sz val="10"/>
        <color theme="1"/>
        <rFont val="Times New Roman"/>
        <family val="1"/>
        <charset val="238"/>
      </rPr>
      <t xml:space="preserve"> na rok 2023</t>
    </r>
  </si>
  <si>
    <t>Województwo: Podlaskie</t>
  </si>
  <si>
    <t xml:space="preserve">Gmina Giby </t>
  </si>
  <si>
    <t xml:space="preserve">Przebudowa drogi w miejscowości Daniłowce </t>
  </si>
  <si>
    <t xml:space="preserve"> Gmina Zambrów </t>
  </si>
  <si>
    <t>Rozbudowa drogi gminnej nr 106082B w miejscowości Nagórski-Jabłoń</t>
  </si>
  <si>
    <t>103*</t>
  </si>
  <si>
    <t>Przebudowa drogi gminnej nr 102321B Pogorzelec - Krasne -Tartaczysko</t>
  </si>
  <si>
    <t>52*</t>
  </si>
  <si>
    <r>
      <t>61</t>
    </r>
    <r>
      <rPr>
        <sz val="10"/>
        <color rgb="FFFF0000"/>
        <rFont val="Arial"/>
        <family val="2"/>
        <charset val="238"/>
      </rPr>
      <t>*</t>
    </r>
  </si>
  <si>
    <r>
      <rPr>
        <sz val="10"/>
        <rFont val="Arial"/>
        <family val="2"/>
        <charset val="238"/>
      </rPr>
      <t>34</t>
    </r>
    <r>
      <rPr>
        <sz val="10"/>
        <color rgb="FFFF0000"/>
        <rFont val="Arial"/>
        <family val="2"/>
        <charset val="238"/>
      </rPr>
      <t>*</t>
    </r>
  </si>
</sst>
</file>

<file path=xl/styles.xml><?xml version="1.0" encoding="utf-8"?>
<styleSheet xmlns="http://schemas.openxmlformats.org/spreadsheetml/2006/main">
  <numFmts count="7">
    <numFmt numFmtId="43" formatCode="_-* #,##0.00\ _z_ł_-;\-* #,##0.00\ _z_ł_-;_-* &quot;-&quot;??\ _z_ł_-;_-@_-"/>
    <numFmt numFmtId="164" formatCode="_-* #,##0.00_-;\-* #,##0.00_-;_-* &quot;-&quot;??_-;_-@_-"/>
    <numFmt numFmtId="165" formatCode="#,##0.00\ &quot;zł&quot;"/>
    <numFmt numFmtId="166" formatCode="#,##0.000"/>
    <numFmt numFmtId="167" formatCode="0.000"/>
    <numFmt numFmtId="168" formatCode="#,##0.00_ ;\-#,##0.00\ "/>
    <numFmt numFmtId="169" formatCode="[$-415]General"/>
  </numFmts>
  <fonts count="38">
    <font>
      <sz val="11"/>
      <color theme="1"/>
      <name val="Calibri"/>
      <family val="2"/>
      <charset val="238"/>
      <scheme val="minor"/>
    </font>
    <font>
      <b/>
      <vertAlign val="superscript"/>
      <sz val="8"/>
      <color indexed="8"/>
      <name val="Arial"/>
      <family val="2"/>
      <charset val="238"/>
    </font>
    <font>
      <sz val="8"/>
      <name val="Arial"/>
      <family val="2"/>
      <charset val="238"/>
    </font>
    <font>
      <b/>
      <sz val="14"/>
      <name val="Times New Roman"/>
      <family val="1"/>
      <charset val="238"/>
    </font>
    <font>
      <sz val="9"/>
      <name val="Times New Roman"/>
      <family val="1"/>
      <charset val="238"/>
    </font>
    <font>
      <b/>
      <sz val="9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color indexed="8"/>
      <name val="Arial"/>
      <family val="2"/>
      <charset val="238"/>
    </font>
    <font>
      <vertAlign val="superscript"/>
      <sz val="10"/>
      <color indexed="8"/>
      <name val="Arial"/>
      <family val="2"/>
      <charset val="238"/>
    </font>
    <font>
      <vertAlign val="superscript"/>
      <sz val="10"/>
      <color indexed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rgb="FF000000"/>
      <name val="Arial1"/>
      <charset val="238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8"/>
      <color rgb="FF000000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0"/>
      <color rgb="FF000000"/>
      <name val="Arial"/>
      <family val="2"/>
      <charset val="238"/>
    </font>
    <font>
      <b/>
      <sz val="10"/>
      <color rgb="FFFF0000"/>
      <name val="Times New Roman"/>
      <family val="1"/>
      <charset val="238"/>
    </font>
    <font>
      <sz val="9"/>
      <color theme="1"/>
      <name val="Calibri"/>
      <family val="2"/>
      <charset val="238"/>
      <scheme val="minor"/>
    </font>
    <font>
      <b/>
      <sz val="10"/>
      <color theme="1"/>
      <name val="Times New Roman"/>
      <family val="1"/>
      <charset val="238"/>
    </font>
    <font>
      <b/>
      <sz val="10"/>
      <color theme="1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sz val="10"/>
      <color theme="9"/>
      <name val="Arial"/>
      <family val="2"/>
      <charset val="238"/>
    </font>
    <font>
      <sz val="10"/>
      <color rgb="FF00B050"/>
      <name val="Arial"/>
      <family val="2"/>
      <charset val="238"/>
    </font>
    <font>
      <sz val="10"/>
      <color theme="1"/>
      <name val="Times New Roman"/>
      <family val="1"/>
      <charset val="238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theme="5"/>
      <name val="Arial"/>
      <family val="2"/>
      <charset val="238"/>
    </font>
    <font>
      <sz val="9"/>
      <color theme="1"/>
      <name val="Times New Roman"/>
      <family val="1"/>
      <charset val="238"/>
    </font>
    <font>
      <b/>
      <sz val="10"/>
      <color indexed="53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</fills>
  <borders count="4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1">
    <xf numFmtId="0" fontId="0" fillId="0" borderId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3" fillId="0" borderId="0" applyFont="0" applyFill="0" applyBorder="0" applyAlignment="0" applyProtection="0"/>
    <xf numFmtId="169" fontId="15" fillId="0" borderId="0" applyBorder="0" applyProtection="0"/>
    <xf numFmtId="0" fontId="13" fillId="0" borderId="0"/>
    <xf numFmtId="0" fontId="13" fillId="0" borderId="0"/>
    <xf numFmtId="0" fontId="14" fillId="0" borderId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</cellStyleXfs>
  <cellXfs count="370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Border="1"/>
    <xf numFmtId="0" fontId="0" fillId="0" borderId="0" xfId="0"/>
    <xf numFmtId="0" fontId="0" fillId="0" borderId="0" xfId="0" applyFill="1"/>
    <xf numFmtId="0" fontId="18" fillId="0" borderId="1" xfId="0" applyFont="1" applyFill="1" applyBorder="1" applyAlignment="1">
      <alignment vertical="center" wrapText="1"/>
    </xf>
    <xf numFmtId="0" fontId="4" fillId="0" borderId="0" xfId="0" applyFont="1"/>
    <xf numFmtId="0" fontId="0" fillId="0" borderId="0" xfId="0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4" fontId="0" fillId="0" borderId="0" xfId="0" applyNumberFormat="1" applyFill="1" applyBorder="1" applyAlignment="1">
      <alignment vertical="center"/>
    </xf>
    <xf numFmtId="4" fontId="4" fillId="0" borderId="0" xfId="0" applyNumberFormat="1" applyFont="1" applyFill="1" applyBorder="1" applyAlignment="1"/>
    <xf numFmtId="4" fontId="4" fillId="0" borderId="0" xfId="0" applyNumberFormat="1" applyFont="1" applyBorder="1" applyAlignment="1"/>
    <xf numFmtId="0" fontId="4" fillId="0" borderId="0" xfId="0" applyFont="1" applyBorder="1"/>
    <xf numFmtId="4" fontId="5" fillId="0" borderId="0" xfId="0" applyNumberFormat="1" applyFont="1" applyFill="1" applyBorder="1" applyAlignment="1"/>
    <xf numFmtId="4" fontId="5" fillId="0" borderId="0" xfId="0" applyNumberFormat="1" applyFont="1" applyBorder="1" applyAlignment="1"/>
    <xf numFmtId="0" fontId="16" fillId="0" borderId="0" xfId="0" applyFont="1"/>
    <xf numFmtId="4" fontId="5" fillId="0" borderId="0" xfId="0" applyNumberFormat="1" applyFont="1" applyFill="1" applyBorder="1" applyAlignment="1">
      <alignment vertical="top"/>
    </xf>
    <xf numFmtId="4" fontId="5" fillId="0" borderId="0" xfId="0" applyNumberFormat="1" applyFont="1" applyBorder="1" applyAlignment="1">
      <alignment vertical="top"/>
    </xf>
    <xf numFmtId="0" fontId="0" fillId="0" borderId="0" xfId="0" applyFill="1" applyBorder="1"/>
    <xf numFmtId="0" fontId="0" fillId="0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0" fontId="8" fillId="0" borderId="0" xfId="8" applyFont="1" applyFill="1" applyAlignment="1">
      <alignment vertical="center"/>
    </xf>
    <xf numFmtId="4" fontId="0" fillId="0" borderId="0" xfId="0" applyNumberFormat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vertical="center" wrapText="1" shrinkToFit="1"/>
    </xf>
    <xf numFmtId="4" fontId="4" fillId="0" borderId="0" xfId="0" applyNumberFormat="1" applyFont="1" applyFill="1" applyBorder="1" applyAlignment="1">
      <alignment vertical="center"/>
    </xf>
    <xf numFmtId="0" fontId="0" fillId="0" borderId="0" xfId="0" applyAlignment="1">
      <alignment horizontal="center"/>
    </xf>
    <xf numFmtId="0" fontId="0" fillId="0" borderId="0" xfId="0" applyFill="1" applyBorder="1" applyAlignment="1">
      <alignment horizontal="center" vertical="center"/>
    </xf>
    <xf numFmtId="9" fontId="13" fillId="0" borderId="0" xfId="10" applyFont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0" fontId="19" fillId="0" borderId="0" xfId="0" applyFont="1" applyFill="1" applyAlignment="1">
      <alignment vertical="center"/>
    </xf>
    <xf numFmtId="4" fontId="19" fillId="0" borderId="0" xfId="0" applyNumberFormat="1" applyFont="1" applyFill="1" applyAlignment="1">
      <alignment vertical="center"/>
    </xf>
    <xf numFmtId="4" fontId="20" fillId="0" borderId="2" xfId="0" applyNumberFormat="1" applyFont="1" applyFill="1" applyBorder="1" applyAlignment="1">
      <alignment horizontal="right" vertical="center" wrapText="1"/>
    </xf>
    <xf numFmtId="0" fontId="7" fillId="2" borderId="3" xfId="0" applyFont="1" applyFill="1" applyBorder="1" applyAlignment="1">
      <alignment horizontal="left" vertical="center" indent="2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7" fillId="0" borderId="7" xfId="0" applyFont="1" applyFill="1" applyBorder="1" applyAlignment="1">
      <alignment vertical="center"/>
    </xf>
    <xf numFmtId="0" fontId="21" fillId="0" borderId="8" xfId="0" applyFont="1" applyFill="1" applyBorder="1" applyAlignment="1">
      <alignment horizontal="left" vertical="center" wrapText="1" indent="2"/>
    </xf>
    <xf numFmtId="0" fontId="7" fillId="0" borderId="8" xfId="0" applyFont="1" applyFill="1" applyBorder="1" applyAlignment="1">
      <alignment horizontal="left" vertical="center" indent="2"/>
    </xf>
    <xf numFmtId="0" fontId="21" fillId="0" borderId="9" xfId="0" applyFont="1" applyFill="1" applyBorder="1" applyAlignment="1">
      <alignment horizontal="left" vertical="center" indent="2"/>
    </xf>
    <xf numFmtId="0" fontId="21" fillId="3" borderId="8" xfId="0" applyFont="1" applyFill="1" applyBorder="1" applyAlignment="1">
      <alignment horizontal="left" vertical="center" wrapText="1" indent="2"/>
    </xf>
    <xf numFmtId="0" fontId="7" fillId="3" borderId="8" xfId="0" applyFont="1" applyFill="1" applyBorder="1" applyAlignment="1">
      <alignment horizontal="left" vertical="center" indent="2"/>
    </xf>
    <xf numFmtId="0" fontId="21" fillId="3" borderId="9" xfId="0" applyFont="1" applyFill="1" applyBorder="1" applyAlignment="1">
      <alignment horizontal="left" vertical="center" indent="2"/>
    </xf>
    <xf numFmtId="0" fontId="7" fillId="2" borderId="10" xfId="0" applyFont="1" applyFill="1" applyBorder="1" applyAlignment="1">
      <alignment vertical="center"/>
    </xf>
    <xf numFmtId="0" fontId="21" fillId="2" borderId="11" xfId="0" applyFont="1" applyFill="1" applyBorder="1" applyAlignment="1">
      <alignment horizontal="left" vertical="center" indent="2"/>
    </xf>
    <xf numFmtId="0" fontId="7" fillId="4" borderId="7" xfId="0" applyFont="1" applyFill="1" applyBorder="1" applyAlignment="1">
      <alignment vertical="center"/>
    </xf>
    <xf numFmtId="0" fontId="7" fillId="4" borderId="8" xfId="0" applyFont="1" applyFill="1" applyBorder="1" applyAlignment="1">
      <alignment horizontal="left" vertical="center" indent="2"/>
    </xf>
    <xf numFmtId="0" fontId="21" fillId="4" borderId="9" xfId="0" applyFont="1" applyFill="1" applyBorder="1" applyAlignment="1">
      <alignment horizontal="left" vertical="center" indent="2"/>
    </xf>
    <xf numFmtId="0" fontId="22" fillId="5" borderId="0" xfId="0" applyFont="1" applyFill="1"/>
    <xf numFmtId="0" fontId="22" fillId="5" borderId="0" xfId="0" applyFont="1" applyFill="1" applyAlignment="1">
      <alignment vertical="center"/>
    </xf>
    <xf numFmtId="0" fontId="22" fillId="0" borderId="0" xfId="0" applyFont="1" applyAlignment="1">
      <alignment vertical="center"/>
    </xf>
    <xf numFmtId="0" fontId="16" fillId="0" borderId="0" xfId="0" applyFont="1" applyFill="1"/>
    <xf numFmtId="0" fontId="0" fillId="0" borderId="0" xfId="0" applyBorder="1" applyAlignment="1">
      <alignment horizontal="center" vertical="center"/>
    </xf>
    <xf numFmtId="9" fontId="13" fillId="0" borderId="0" xfId="10" applyFont="1" applyBorder="1" applyAlignment="1">
      <alignment horizontal="center" vertical="center"/>
    </xf>
    <xf numFmtId="4" fontId="0" fillId="0" borderId="0" xfId="0" applyNumberFormat="1" applyBorder="1" applyAlignment="1">
      <alignment horizontal="center" vertical="center"/>
    </xf>
    <xf numFmtId="0" fontId="7" fillId="0" borderId="12" xfId="0" applyNumberFormat="1" applyFont="1" applyFill="1" applyBorder="1" applyAlignment="1">
      <alignment horizontal="right" vertical="center"/>
    </xf>
    <xf numFmtId="165" fontId="7" fillId="0" borderId="13" xfId="0" applyNumberFormat="1" applyFont="1" applyFill="1" applyBorder="1" applyAlignment="1">
      <alignment horizontal="right" vertical="center"/>
    </xf>
    <xf numFmtId="165" fontId="7" fillId="0" borderId="14" xfId="0" applyNumberFormat="1" applyFont="1" applyFill="1" applyBorder="1" applyAlignment="1">
      <alignment horizontal="right" vertical="center"/>
    </xf>
    <xf numFmtId="165" fontId="7" fillId="6" borderId="15" xfId="0" applyNumberFormat="1" applyFont="1" applyFill="1" applyBorder="1" applyAlignment="1">
      <alignment horizontal="right" vertical="center"/>
    </xf>
    <xf numFmtId="165" fontId="7" fillId="0" borderId="12" xfId="0" applyNumberFormat="1" applyFont="1" applyFill="1" applyBorder="1" applyAlignment="1">
      <alignment horizontal="right" vertical="center"/>
    </xf>
    <xf numFmtId="0" fontId="21" fillId="5" borderId="16" xfId="0" applyNumberFormat="1" applyFont="1" applyFill="1" applyBorder="1" applyAlignment="1">
      <alignment horizontal="right" vertical="center"/>
    </xf>
    <xf numFmtId="165" fontId="21" fillId="5" borderId="2" xfId="0" applyNumberFormat="1" applyFont="1" applyFill="1" applyBorder="1" applyAlignment="1">
      <alignment horizontal="right" vertical="center"/>
    </xf>
    <xf numFmtId="165" fontId="21" fillId="5" borderId="17" xfId="0" applyNumberFormat="1" applyFont="1" applyFill="1" applyBorder="1" applyAlignment="1">
      <alignment horizontal="right" vertical="center"/>
    </xf>
    <xf numFmtId="165" fontId="21" fillId="6" borderId="3" xfId="0" applyNumberFormat="1" applyFont="1" applyFill="1" applyBorder="1" applyAlignment="1">
      <alignment horizontal="right" vertical="center"/>
    </xf>
    <xf numFmtId="165" fontId="21" fillId="5" borderId="16" xfId="0" applyNumberFormat="1" applyFont="1" applyFill="1" applyBorder="1" applyAlignment="1">
      <alignment horizontal="right" vertical="center"/>
    </xf>
    <xf numFmtId="165" fontId="21" fillId="5" borderId="18" xfId="0" applyNumberFormat="1" applyFont="1" applyFill="1" applyBorder="1" applyAlignment="1">
      <alignment horizontal="right" vertical="center"/>
    </xf>
    <xf numFmtId="0" fontId="7" fillId="5" borderId="16" xfId="0" applyNumberFormat="1" applyFont="1" applyFill="1" applyBorder="1" applyAlignment="1">
      <alignment horizontal="right" vertical="center"/>
    </xf>
    <xf numFmtId="165" fontId="7" fillId="5" borderId="2" xfId="0" applyNumberFormat="1" applyFont="1" applyFill="1" applyBorder="1" applyAlignment="1">
      <alignment horizontal="right" vertical="center"/>
    </xf>
    <xf numFmtId="165" fontId="7" fillId="5" borderId="17" xfId="0" applyNumberFormat="1" applyFont="1" applyFill="1" applyBorder="1" applyAlignment="1">
      <alignment horizontal="right" vertical="center"/>
    </xf>
    <xf numFmtId="165" fontId="7" fillId="6" borderId="3" xfId="0" applyNumberFormat="1" applyFont="1" applyFill="1" applyBorder="1" applyAlignment="1">
      <alignment horizontal="right" vertical="center"/>
    </xf>
    <xf numFmtId="165" fontId="7" fillId="5" borderId="16" xfId="0" applyNumberFormat="1" applyFont="1" applyFill="1" applyBorder="1" applyAlignment="1">
      <alignment horizontal="right" vertical="center"/>
    </xf>
    <xf numFmtId="165" fontId="7" fillId="5" borderId="18" xfId="0" applyNumberFormat="1" applyFont="1" applyFill="1" applyBorder="1" applyAlignment="1">
      <alignment horizontal="right" vertical="center"/>
    </xf>
    <xf numFmtId="0" fontId="21" fillId="5" borderId="19" xfId="0" applyNumberFormat="1" applyFont="1" applyFill="1" applyBorder="1" applyAlignment="1">
      <alignment horizontal="right" vertical="center"/>
    </xf>
    <xf numFmtId="165" fontId="21" fillId="5" borderId="20" xfId="0" applyNumberFormat="1" applyFont="1" applyFill="1" applyBorder="1" applyAlignment="1">
      <alignment horizontal="right" vertical="center"/>
    </xf>
    <xf numFmtId="165" fontId="21" fillId="5" borderId="21" xfId="0" applyNumberFormat="1" applyFont="1" applyFill="1" applyBorder="1" applyAlignment="1">
      <alignment horizontal="right" vertical="center"/>
    </xf>
    <xf numFmtId="165" fontId="21" fillId="6" borderId="22" xfId="0" applyNumberFormat="1" applyFont="1" applyFill="1" applyBorder="1" applyAlignment="1">
      <alignment horizontal="right" vertical="center"/>
    </xf>
    <xf numFmtId="165" fontId="21" fillId="5" borderId="19" xfId="0" applyNumberFormat="1" applyFont="1" applyFill="1" applyBorder="1" applyAlignment="1">
      <alignment horizontal="right" vertical="center"/>
    </xf>
    <xf numFmtId="165" fontId="21" fillId="5" borderId="23" xfId="0" applyNumberFormat="1" applyFont="1" applyFill="1" applyBorder="1" applyAlignment="1">
      <alignment horizontal="right" vertical="center"/>
    </xf>
    <xf numFmtId="165" fontId="7" fillId="5" borderId="12" xfId="0" applyNumberFormat="1" applyFont="1" applyFill="1" applyBorder="1" applyAlignment="1">
      <alignment horizontal="right" vertical="center"/>
    </xf>
    <xf numFmtId="165" fontId="7" fillId="5" borderId="13" xfId="0" applyNumberFormat="1" applyFont="1" applyFill="1" applyBorder="1" applyAlignment="1">
      <alignment horizontal="right" vertical="center"/>
    </xf>
    <xf numFmtId="0" fontId="21" fillId="3" borderId="16" xfId="0" applyNumberFormat="1" applyFont="1" applyFill="1" applyBorder="1" applyAlignment="1">
      <alignment horizontal="right" vertical="center"/>
    </xf>
    <xf numFmtId="165" fontId="21" fillId="3" borderId="2" xfId="0" applyNumberFormat="1" applyFont="1" applyFill="1" applyBorder="1" applyAlignment="1">
      <alignment horizontal="right" vertical="center"/>
    </xf>
    <xf numFmtId="165" fontId="21" fillId="3" borderId="17" xfId="0" applyNumberFormat="1" applyFont="1" applyFill="1" applyBorder="1" applyAlignment="1">
      <alignment horizontal="right" vertical="center"/>
    </xf>
    <xf numFmtId="165" fontId="21" fillId="3" borderId="16" xfId="0" applyNumberFormat="1" applyFont="1" applyFill="1" applyBorder="1" applyAlignment="1">
      <alignment horizontal="right" vertical="center"/>
    </xf>
    <xf numFmtId="165" fontId="21" fillId="3" borderId="18" xfId="0" applyNumberFormat="1" applyFont="1" applyFill="1" applyBorder="1" applyAlignment="1">
      <alignment horizontal="right" vertical="center"/>
    </xf>
    <xf numFmtId="0" fontId="7" fillId="3" borderId="16" xfId="0" applyNumberFormat="1" applyFont="1" applyFill="1" applyBorder="1" applyAlignment="1">
      <alignment horizontal="right" vertical="center"/>
    </xf>
    <xf numFmtId="165" fontId="7" fillId="3" borderId="2" xfId="0" applyNumberFormat="1" applyFont="1" applyFill="1" applyBorder="1" applyAlignment="1">
      <alignment horizontal="right" vertical="center"/>
    </xf>
    <xf numFmtId="165" fontId="7" fillId="3" borderId="17" xfId="0" applyNumberFormat="1" applyFont="1" applyFill="1" applyBorder="1" applyAlignment="1">
      <alignment horizontal="right" vertical="center"/>
    </xf>
    <xf numFmtId="165" fontId="7" fillId="3" borderId="16" xfId="0" applyNumberFormat="1" applyFont="1" applyFill="1" applyBorder="1" applyAlignment="1">
      <alignment horizontal="right" vertical="center"/>
    </xf>
    <xf numFmtId="165" fontId="7" fillId="3" borderId="18" xfId="0" applyNumberFormat="1" applyFont="1" applyFill="1" applyBorder="1" applyAlignment="1">
      <alignment horizontal="right" vertical="center"/>
    </xf>
    <xf numFmtId="0" fontId="21" fillId="3" borderId="19" xfId="0" applyNumberFormat="1" applyFont="1" applyFill="1" applyBorder="1" applyAlignment="1">
      <alignment horizontal="right" vertical="center"/>
    </xf>
    <xf numFmtId="165" fontId="21" fillId="3" borderId="20" xfId="0" applyNumberFormat="1" applyFont="1" applyFill="1" applyBorder="1" applyAlignment="1">
      <alignment horizontal="right" vertical="center"/>
    </xf>
    <xf numFmtId="165" fontId="21" fillId="3" borderId="21" xfId="0" applyNumberFormat="1" applyFont="1" applyFill="1" applyBorder="1" applyAlignment="1">
      <alignment horizontal="right" vertical="center"/>
    </xf>
    <xf numFmtId="165" fontId="21" fillId="3" borderId="19" xfId="0" applyNumberFormat="1" applyFont="1" applyFill="1" applyBorder="1" applyAlignment="1">
      <alignment horizontal="right" vertical="center"/>
    </xf>
    <xf numFmtId="165" fontId="21" fillId="3" borderId="23" xfId="0" applyNumberFormat="1" applyFont="1" applyFill="1" applyBorder="1" applyAlignment="1">
      <alignment horizontal="right" vertical="center"/>
    </xf>
    <xf numFmtId="165" fontId="7" fillId="0" borderId="24" xfId="0" applyNumberFormat="1" applyFont="1" applyFill="1" applyBorder="1" applyAlignment="1">
      <alignment horizontal="right" vertical="center"/>
    </xf>
    <xf numFmtId="0" fontId="7" fillId="2" borderId="25" xfId="0" applyNumberFormat="1" applyFont="1" applyFill="1" applyBorder="1" applyAlignment="1">
      <alignment horizontal="right" vertical="center"/>
    </xf>
    <xf numFmtId="165" fontId="7" fillId="2" borderId="26" xfId="0" applyNumberFormat="1" applyFont="1" applyFill="1" applyBorder="1" applyAlignment="1">
      <alignment horizontal="right" vertical="center"/>
    </xf>
    <xf numFmtId="165" fontId="7" fillId="2" borderId="27" xfId="0" applyNumberFormat="1" applyFont="1" applyFill="1" applyBorder="1" applyAlignment="1">
      <alignment horizontal="right" vertical="center"/>
    </xf>
    <xf numFmtId="165" fontId="7" fillId="6" borderId="10" xfId="0" applyNumberFormat="1" applyFont="1" applyFill="1" applyBorder="1" applyAlignment="1">
      <alignment horizontal="right" vertical="center"/>
    </xf>
    <xf numFmtId="165" fontId="7" fillId="2" borderId="25" xfId="0" applyNumberFormat="1" applyFont="1" applyFill="1" applyBorder="1" applyAlignment="1">
      <alignment horizontal="right" vertical="center"/>
    </xf>
    <xf numFmtId="165" fontId="7" fillId="2" borderId="28" xfId="0" applyNumberFormat="1" applyFont="1" applyFill="1" applyBorder="1" applyAlignment="1">
      <alignment horizontal="right" vertical="center"/>
    </xf>
    <xf numFmtId="0" fontId="7" fillId="2" borderId="16" xfId="0" applyNumberFormat="1" applyFont="1" applyFill="1" applyBorder="1" applyAlignment="1">
      <alignment horizontal="right" vertical="center"/>
    </xf>
    <xf numFmtId="165" fontId="7" fillId="2" borderId="2" xfId="0" applyNumberFormat="1" applyFont="1" applyFill="1" applyBorder="1" applyAlignment="1">
      <alignment horizontal="right" vertical="center"/>
    </xf>
    <xf numFmtId="165" fontId="7" fillId="2" borderId="17" xfId="0" applyNumberFormat="1" applyFont="1" applyFill="1" applyBorder="1" applyAlignment="1">
      <alignment horizontal="right" vertical="center"/>
    </xf>
    <xf numFmtId="165" fontId="7" fillId="2" borderId="16" xfId="0" applyNumberFormat="1" applyFont="1" applyFill="1" applyBorder="1" applyAlignment="1">
      <alignment horizontal="right" vertical="center"/>
    </xf>
    <xf numFmtId="165" fontId="7" fillId="2" borderId="29" xfId="0" applyNumberFormat="1" applyFont="1" applyFill="1" applyBorder="1" applyAlignment="1">
      <alignment horizontal="right" vertical="center"/>
    </xf>
    <xf numFmtId="0" fontId="21" fillId="2" borderId="4" xfId="0" applyNumberFormat="1" applyFont="1" applyFill="1" applyBorder="1" applyAlignment="1">
      <alignment horizontal="right" vertical="center"/>
    </xf>
    <xf numFmtId="165" fontId="21" fillId="2" borderId="5" xfId="0" applyNumberFormat="1" applyFont="1" applyFill="1" applyBorder="1" applyAlignment="1">
      <alignment horizontal="right" vertical="center"/>
    </xf>
    <xf numFmtId="165" fontId="21" fillId="2" borderId="30" xfId="0" applyNumberFormat="1" applyFont="1" applyFill="1" applyBorder="1" applyAlignment="1">
      <alignment horizontal="right" vertical="center"/>
    </xf>
    <xf numFmtId="165" fontId="21" fillId="6" borderId="11" xfId="0" applyNumberFormat="1" applyFont="1" applyFill="1" applyBorder="1" applyAlignment="1">
      <alignment horizontal="right" vertical="center"/>
    </xf>
    <xf numFmtId="165" fontId="21" fillId="2" borderId="4" xfId="0" applyNumberFormat="1" applyFont="1" applyFill="1" applyBorder="1" applyAlignment="1">
      <alignment horizontal="right" vertical="center"/>
    </xf>
    <xf numFmtId="165" fontId="21" fillId="2" borderId="6" xfId="0" applyNumberFormat="1" applyFont="1" applyFill="1" applyBorder="1" applyAlignment="1">
      <alignment horizontal="right" vertical="center"/>
    </xf>
    <xf numFmtId="0" fontId="23" fillId="4" borderId="12" xfId="0" applyNumberFormat="1" applyFont="1" applyFill="1" applyBorder="1" applyAlignment="1">
      <alignment horizontal="right" vertical="center"/>
    </xf>
    <xf numFmtId="165" fontId="23" fillId="4" borderId="13" xfId="0" applyNumberFormat="1" applyFont="1" applyFill="1" applyBorder="1" applyAlignment="1">
      <alignment horizontal="right" vertical="center"/>
    </xf>
    <xf numFmtId="165" fontId="23" fillId="4" borderId="14" xfId="0" applyNumberFormat="1" applyFont="1" applyFill="1" applyBorder="1" applyAlignment="1">
      <alignment horizontal="right" vertical="center"/>
    </xf>
    <xf numFmtId="165" fontId="23" fillId="6" borderId="15" xfId="0" applyNumberFormat="1" applyFont="1" applyFill="1" applyBorder="1" applyAlignment="1">
      <alignment horizontal="right" vertical="center"/>
    </xf>
    <xf numFmtId="165" fontId="23" fillId="4" borderId="12" xfId="0" applyNumberFormat="1" applyFont="1" applyFill="1" applyBorder="1" applyAlignment="1">
      <alignment horizontal="right" vertical="center"/>
    </xf>
    <xf numFmtId="165" fontId="23" fillId="4" borderId="24" xfId="0" applyNumberFormat="1" applyFont="1" applyFill="1" applyBorder="1" applyAlignment="1">
      <alignment horizontal="right" vertical="center"/>
    </xf>
    <xf numFmtId="0" fontId="23" fillId="4" borderId="16" xfId="0" applyNumberFormat="1" applyFont="1" applyFill="1" applyBorder="1" applyAlignment="1">
      <alignment horizontal="right" vertical="center"/>
    </xf>
    <xf numFmtId="165" fontId="23" fillId="4" borderId="2" xfId="0" applyNumberFormat="1" applyFont="1" applyFill="1" applyBorder="1" applyAlignment="1">
      <alignment horizontal="right" vertical="center"/>
    </xf>
    <xf numFmtId="165" fontId="23" fillId="4" borderId="17" xfId="0" applyNumberFormat="1" applyFont="1" applyFill="1" applyBorder="1" applyAlignment="1">
      <alignment horizontal="right" vertical="center"/>
    </xf>
    <xf numFmtId="165" fontId="23" fillId="6" borderId="3" xfId="0" applyNumberFormat="1" applyFont="1" applyFill="1" applyBorder="1" applyAlignment="1">
      <alignment horizontal="right" vertical="center"/>
    </xf>
    <xf numFmtId="165" fontId="23" fillId="4" borderId="16" xfId="0" applyNumberFormat="1" applyFont="1" applyFill="1" applyBorder="1" applyAlignment="1">
      <alignment horizontal="right" vertical="center"/>
    </xf>
    <xf numFmtId="165" fontId="23" fillId="4" borderId="18" xfId="0" applyNumberFormat="1" applyFont="1" applyFill="1" applyBorder="1" applyAlignment="1">
      <alignment horizontal="right" vertical="center"/>
    </xf>
    <xf numFmtId="0" fontId="21" fillId="4" borderId="19" xfId="0" applyNumberFormat="1" applyFont="1" applyFill="1" applyBorder="1" applyAlignment="1">
      <alignment horizontal="right" vertical="center"/>
    </xf>
    <xf numFmtId="165" fontId="21" fillId="4" borderId="20" xfId="0" applyNumberFormat="1" applyFont="1" applyFill="1" applyBorder="1" applyAlignment="1">
      <alignment horizontal="right" vertical="center"/>
    </xf>
    <xf numFmtId="165" fontId="21" fillId="4" borderId="21" xfId="0" applyNumberFormat="1" applyFont="1" applyFill="1" applyBorder="1" applyAlignment="1">
      <alignment horizontal="right" vertical="center"/>
    </xf>
    <xf numFmtId="165" fontId="21" fillId="4" borderId="19" xfId="0" applyNumberFormat="1" applyFont="1" applyFill="1" applyBorder="1" applyAlignment="1">
      <alignment horizontal="right" vertical="center"/>
    </xf>
    <xf numFmtId="165" fontId="21" fillId="4" borderId="23" xfId="0" applyNumberFormat="1" applyFont="1" applyFill="1" applyBorder="1" applyAlignment="1">
      <alignment horizontal="right" vertical="center"/>
    </xf>
    <xf numFmtId="166" fontId="9" fillId="0" borderId="2" xfId="0" applyNumberFormat="1" applyFont="1" applyFill="1" applyBorder="1" applyAlignment="1">
      <alignment horizontal="center" vertical="center"/>
    </xf>
    <xf numFmtId="0" fontId="24" fillId="0" borderId="2" xfId="0" applyFont="1" applyFill="1" applyBorder="1" applyAlignment="1">
      <alignment horizontal="center" vertical="center" wrapText="1"/>
    </xf>
    <xf numFmtId="9" fontId="9" fillId="0" borderId="2" xfId="0" applyNumberFormat="1" applyFont="1" applyFill="1" applyBorder="1" applyAlignment="1">
      <alignment horizontal="center" vertical="center"/>
    </xf>
    <xf numFmtId="166" fontId="25" fillId="0" borderId="2" xfId="0" applyNumberFormat="1" applyFont="1" applyFill="1" applyBorder="1" applyAlignment="1">
      <alignment horizontal="center" vertical="center"/>
    </xf>
    <xf numFmtId="9" fontId="25" fillId="0" borderId="2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4" fontId="20" fillId="0" borderId="2" xfId="0" applyNumberFormat="1" applyFont="1" applyFill="1" applyBorder="1" applyAlignment="1">
      <alignment vertical="center" wrapText="1"/>
    </xf>
    <xf numFmtId="9" fontId="13" fillId="0" borderId="0" xfId="10" applyFont="1" applyFill="1" applyBorder="1" applyAlignment="1">
      <alignment horizontal="center" vertical="center"/>
    </xf>
    <xf numFmtId="4" fontId="0" fillId="0" borderId="0" xfId="0" applyNumberFormat="1" applyFill="1" applyBorder="1" applyAlignment="1">
      <alignment horizontal="center" vertical="center"/>
    </xf>
    <xf numFmtId="0" fontId="7" fillId="3" borderId="7" xfId="0" applyFont="1" applyFill="1" applyBorder="1" applyAlignment="1">
      <alignment vertical="center"/>
    </xf>
    <xf numFmtId="0" fontId="7" fillId="3" borderId="12" xfId="0" applyNumberFormat="1" applyFont="1" applyFill="1" applyBorder="1" applyAlignment="1">
      <alignment horizontal="right" vertical="center"/>
    </xf>
    <xf numFmtId="165" fontId="7" fillId="3" borderId="13" xfId="0" applyNumberFormat="1" applyFont="1" applyFill="1" applyBorder="1" applyAlignment="1">
      <alignment horizontal="right" vertical="center"/>
    </xf>
    <xf numFmtId="165" fontId="7" fillId="3" borderId="14" xfId="0" applyNumberFormat="1" applyFont="1" applyFill="1" applyBorder="1" applyAlignment="1">
      <alignment horizontal="right" vertical="center"/>
    </xf>
    <xf numFmtId="165" fontId="7" fillId="3" borderId="12" xfId="0" applyNumberFormat="1" applyFont="1" applyFill="1" applyBorder="1" applyAlignment="1">
      <alignment horizontal="right" vertical="center"/>
    </xf>
    <xf numFmtId="165" fontId="7" fillId="3" borderId="24" xfId="0" applyNumberFormat="1" applyFont="1" applyFill="1" applyBorder="1" applyAlignment="1">
      <alignment horizontal="right" vertical="center"/>
    </xf>
    <xf numFmtId="4" fontId="19" fillId="0" borderId="0" xfId="0" applyNumberFormat="1" applyFont="1" applyFill="1" applyBorder="1" applyAlignment="1">
      <alignment vertical="center"/>
    </xf>
    <xf numFmtId="0" fontId="26" fillId="0" borderId="0" xfId="0" applyFont="1"/>
    <xf numFmtId="0" fontId="3" fillId="5" borderId="0" xfId="0" applyFont="1" applyFill="1" applyBorder="1" applyAlignment="1">
      <alignment vertical="center"/>
    </xf>
    <xf numFmtId="0" fontId="3" fillId="5" borderId="0" xfId="0" applyFont="1" applyFill="1" applyBorder="1" applyAlignment="1">
      <alignment vertical="center" wrapText="1"/>
    </xf>
    <xf numFmtId="0" fontId="3" fillId="5" borderId="0" xfId="0" applyFont="1" applyFill="1" applyBorder="1" applyAlignment="1">
      <alignment wrapText="1"/>
    </xf>
    <xf numFmtId="0" fontId="27" fillId="5" borderId="0" xfId="0" applyFont="1" applyFill="1"/>
    <xf numFmtId="0" fontId="4" fillId="5" borderId="0" xfId="0" applyFont="1" applyFill="1" applyAlignment="1">
      <alignment vertical="center"/>
    </xf>
    <xf numFmtId="0" fontId="4" fillId="5" borderId="0" xfId="0" applyFont="1" applyFill="1"/>
    <xf numFmtId="0" fontId="0" fillId="5" borderId="0" xfId="0" applyFill="1"/>
    <xf numFmtId="0" fontId="5" fillId="5" borderId="0" xfId="0" applyFont="1" applyFill="1" applyAlignment="1">
      <alignment vertical="center"/>
    </xf>
    <xf numFmtId="0" fontId="0" fillId="5" borderId="0" xfId="0" applyFill="1" applyAlignment="1">
      <alignment vertical="center"/>
    </xf>
    <xf numFmtId="0" fontId="6" fillId="5" borderId="0" xfId="0" applyFont="1" applyFill="1" applyBorder="1" applyAlignment="1">
      <alignment vertical="center"/>
    </xf>
    <xf numFmtId="0" fontId="4" fillId="5" borderId="0" xfId="0" applyFont="1" applyFill="1" applyBorder="1" applyAlignment="1">
      <alignment vertical="center"/>
    </xf>
    <xf numFmtId="0" fontId="5" fillId="5" borderId="0" xfId="0" applyFont="1" applyFill="1" applyAlignment="1"/>
    <xf numFmtId="0" fontId="4" fillId="5" borderId="0" xfId="0" applyFont="1" applyFill="1" applyBorder="1" applyAlignment="1">
      <alignment horizontal="center" vertical="center"/>
    </xf>
    <xf numFmtId="4" fontId="8" fillId="0" borderId="2" xfId="0" applyNumberFormat="1" applyFont="1" applyFill="1" applyBorder="1" applyAlignment="1">
      <alignment horizontal="right" vertical="center" wrapText="1"/>
    </xf>
    <xf numFmtId="4" fontId="28" fillId="0" borderId="2" xfId="0" applyNumberFormat="1" applyFont="1" applyFill="1" applyBorder="1" applyAlignment="1">
      <alignment horizontal="right" vertical="center" wrapText="1"/>
    </xf>
    <xf numFmtId="9" fontId="29" fillId="0" borderId="2" xfId="0" applyNumberFormat="1" applyFont="1" applyFill="1" applyBorder="1" applyAlignment="1">
      <alignment horizontal="center" vertical="center"/>
    </xf>
    <xf numFmtId="43" fontId="25" fillId="0" borderId="2" xfId="0" applyNumberFormat="1" applyFont="1" applyFill="1" applyBorder="1" applyAlignment="1">
      <alignment horizontal="right" vertical="center" wrapText="1"/>
    </xf>
    <xf numFmtId="9" fontId="8" fillId="0" borderId="2" xfId="0" applyNumberFormat="1" applyFont="1" applyFill="1" applyBorder="1" applyAlignment="1">
      <alignment horizontal="center" vertical="center"/>
    </xf>
    <xf numFmtId="9" fontId="28" fillId="0" borderId="2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7" fillId="0" borderId="7" xfId="0" applyFont="1" applyFill="1" applyBorder="1" applyAlignment="1">
      <alignment vertical="center" wrapText="1"/>
    </xf>
    <xf numFmtId="0" fontId="0" fillId="5" borderId="0" xfId="0" applyFill="1" applyBorder="1" applyAlignment="1">
      <alignment vertical="center"/>
    </xf>
    <xf numFmtId="4" fontId="19" fillId="5" borderId="0" xfId="0" applyNumberFormat="1" applyFont="1" applyFill="1" applyAlignment="1">
      <alignment vertical="center"/>
    </xf>
    <xf numFmtId="0" fontId="19" fillId="5" borderId="0" xfId="0" applyFont="1" applyFill="1" applyAlignment="1">
      <alignment vertical="center"/>
    </xf>
    <xf numFmtId="4" fontId="24" fillId="0" borderId="2" xfId="0" applyNumberFormat="1" applyFont="1" applyFill="1" applyBorder="1" applyAlignment="1">
      <alignment horizontal="right" vertical="center"/>
    </xf>
    <xf numFmtId="4" fontId="20" fillId="0" borderId="26" xfId="0" applyNumberFormat="1" applyFont="1" applyFill="1" applyBorder="1" applyAlignment="1">
      <alignment horizontal="right" vertical="center" wrapText="1"/>
    </xf>
    <xf numFmtId="166" fontId="9" fillId="0" borderId="26" xfId="0" applyNumberFormat="1" applyFont="1" applyFill="1" applyBorder="1" applyAlignment="1">
      <alignment horizontal="center" vertical="center"/>
    </xf>
    <xf numFmtId="0" fontId="24" fillId="0" borderId="26" xfId="0" applyFont="1" applyFill="1" applyBorder="1" applyAlignment="1">
      <alignment horizontal="center" vertical="center" wrapText="1"/>
    </xf>
    <xf numFmtId="9" fontId="9" fillId="0" borderId="26" xfId="0" applyNumberFormat="1" applyFont="1" applyFill="1" applyBorder="1" applyAlignment="1">
      <alignment horizontal="center" vertical="center"/>
    </xf>
    <xf numFmtId="4" fontId="20" fillId="0" borderId="26" xfId="0" applyNumberFormat="1" applyFont="1" applyFill="1" applyBorder="1" applyAlignment="1">
      <alignment vertical="center" wrapText="1"/>
    </xf>
    <xf numFmtId="9" fontId="13" fillId="0" borderId="0" xfId="10" applyFont="1" applyFill="1" applyAlignment="1">
      <alignment horizontal="center" vertical="center"/>
    </xf>
    <xf numFmtId="4" fontId="0" fillId="0" borderId="0" xfId="0" applyNumberFormat="1" applyFill="1" applyAlignment="1">
      <alignment horizontal="center" vertical="center"/>
    </xf>
    <xf numFmtId="0" fontId="19" fillId="0" borderId="0" xfId="0" applyFont="1" applyFill="1" applyBorder="1" applyAlignment="1">
      <alignment vertical="center"/>
    </xf>
    <xf numFmtId="4" fontId="8" fillId="0" borderId="2" xfId="0" applyNumberFormat="1" applyFont="1" applyFill="1" applyBorder="1" applyAlignment="1">
      <alignment horizontal="center" vertical="center" wrapText="1"/>
    </xf>
    <xf numFmtId="49" fontId="29" fillId="0" borderId="2" xfId="0" applyNumberFormat="1" applyFont="1" applyFill="1" applyBorder="1" applyAlignment="1">
      <alignment horizontal="center" vertical="center" wrapText="1"/>
    </xf>
    <xf numFmtId="166" fontId="29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vertical="center" wrapText="1"/>
    </xf>
    <xf numFmtId="167" fontId="8" fillId="0" borderId="2" xfId="0" applyNumberFormat="1" applyFont="1" applyFill="1" applyBorder="1" applyAlignment="1">
      <alignment horizontal="center" vertical="center" wrapText="1"/>
    </xf>
    <xf numFmtId="17" fontId="8" fillId="0" borderId="2" xfId="0" applyNumberFormat="1" applyFont="1" applyFill="1" applyBorder="1" applyAlignment="1">
      <alignment horizontal="center" vertical="center" wrapText="1"/>
    </xf>
    <xf numFmtId="167" fontId="29" fillId="0" borderId="2" xfId="0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horizontal="right" vertical="center"/>
    </xf>
    <xf numFmtId="0" fontId="0" fillId="0" borderId="0" xfId="0" applyFill="1" applyAlignment="1">
      <alignment horizontal="right"/>
    </xf>
    <xf numFmtId="4" fontId="9" fillId="0" borderId="2" xfId="0" applyNumberFormat="1" applyFont="1" applyFill="1" applyBorder="1" applyAlignment="1">
      <alignment horizontal="right" vertical="center" wrapText="1"/>
    </xf>
    <xf numFmtId="0" fontId="18" fillId="0" borderId="0" xfId="0" applyFont="1" applyFill="1" applyBorder="1" applyAlignment="1">
      <alignment horizontal="right" vertical="center" wrapText="1"/>
    </xf>
    <xf numFmtId="0" fontId="0" fillId="0" borderId="0" xfId="0" applyFill="1" applyBorder="1" applyAlignment="1">
      <alignment horizontal="right" vertical="center"/>
    </xf>
    <xf numFmtId="0" fontId="0" fillId="0" borderId="0" xfId="0" applyFill="1" applyBorder="1" applyAlignment="1">
      <alignment horizontal="right"/>
    </xf>
    <xf numFmtId="0" fontId="8" fillId="0" borderId="2" xfId="0" applyFont="1" applyFill="1" applyBorder="1" applyAlignment="1">
      <alignment horizontal="center" vertical="center"/>
    </xf>
    <xf numFmtId="0" fontId="19" fillId="5" borderId="0" xfId="0" applyFont="1" applyFill="1" applyBorder="1" applyAlignment="1">
      <alignment vertical="center"/>
    </xf>
    <xf numFmtId="0" fontId="29" fillId="0" borderId="2" xfId="0" applyFont="1" applyFill="1" applyBorder="1" applyAlignment="1">
      <alignment horizontal="left" vertical="center" wrapText="1"/>
    </xf>
    <xf numFmtId="4" fontId="8" fillId="0" borderId="2" xfId="0" applyNumberFormat="1" applyFont="1" applyFill="1" applyBorder="1" applyAlignment="1">
      <alignment horizontal="right" vertical="center"/>
    </xf>
    <xf numFmtId="4" fontId="8" fillId="0" borderId="2" xfId="0" applyNumberFormat="1" applyFont="1" applyFill="1" applyBorder="1" applyAlignment="1">
      <alignment horizontal="right"/>
    </xf>
    <xf numFmtId="4" fontId="19" fillId="5" borderId="0" xfId="0" applyNumberFormat="1" applyFont="1" applyFill="1" applyBorder="1" applyAlignment="1">
      <alignment vertical="center"/>
    </xf>
    <xf numFmtId="9" fontId="13" fillId="0" borderId="0" xfId="10" applyNumberFormat="1" applyFont="1" applyFill="1" applyAlignment="1">
      <alignment horizontal="center" vertical="center"/>
    </xf>
    <xf numFmtId="4" fontId="29" fillId="0" borderId="2" xfId="0" applyNumberFormat="1" applyFont="1" applyFill="1" applyBorder="1" applyAlignment="1">
      <alignment horizontal="right" wrapText="1"/>
    </xf>
    <xf numFmtId="0" fontId="0" fillId="7" borderId="0" xfId="0" applyFill="1" applyBorder="1" applyAlignment="1">
      <alignment vertical="center"/>
    </xf>
    <xf numFmtId="0" fontId="0" fillId="8" borderId="0" xfId="0" applyFill="1" applyBorder="1" applyAlignment="1">
      <alignment vertical="center"/>
    </xf>
    <xf numFmtId="4" fontId="9" fillId="0" borderId="2" xfId="0" applyNumberFormat="1" applyFont="1" applyFill="1" applyBorder="1" applyAlignment="1">
      <alignment horizontal="right" vertical="center"/>
    </xf>
    <xf numFmtId="0" fontId="8" fillId="0" borderId="2" xfId="0" applyFont="1" applyFill="1" applyBorder="1" applyAlignment="1">
      <alignment horizontal="right" vertical="center"/>
    </xf>
    <xf numFmtId="4" fontId="8" fillId="0" borderId="2" xfId="1" applyNumberFormat="1" applyFont="1" applyFill="1" applyBorder="1" applyAlignment="1">
      <alignment horizontal="right" vertical="center"/>
    </xf>
    <xf numFmtId="4" fontId="8" fillId="0" borderId="26" xfId="0" applyNumberFormat="1" applyFont="1" applyFill="1" applyBorder="1" applyAlignment="1">
      <alignment horizontal="right" vertical="center"/>
    </xf>
    <xf numFmtId="0" fontId="8" fillId="0" borderId="17" xfId="0" applyFont="1" applyFill="1" applyBorder="1" applyAlignment="1">
      <alignment vertical="center" wrapText="1"/>
    </xf>
    <xf numFmtId="17" fontId="8" fillId="0" borderId="17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right" vertical="center" wrapText="1"/>
    </xf>
    <xf numFmtId="4" fontId="8" fillId="0" borderId="5" xfId="0" applyNumberFormat="1" applyFont="1" applyFill="1" applyBorder="1" applyAlignment="1">
      <alignment horizontal="right" vertical="center" wrapText="1"/>
    </xf>
    <xf numFmtId="4" fontId="29" fillId="0" borderId="2" xfId="1" applyNumberFormat="1" applyFont="1" applyFill="1" applyBorder="1" applyAlignment="1">
      <alignment vertical="center"/>
    </xf>
    <xf numFmtId="2" fontId="8" fillId="0" borderId="2" xfId="0" applyNumberFormat="1" applyFont="1" applyFill="1" applyBorder="1" applyAlignment="1">
      <alignment horizontal="right" vertical="center" wrapText="1"/>
    </xf>
    <xf numFmtId="0" fontId="28" fillId="0" borderId="2" xfId="0" applyFont="1" applyFill="1" applyBorder="1" applyAlignment="1">
      <alignment horizontal="right"/>
    </xf>
    <xf numFmtId="49" fontId="8" fillId="0" borderId="2" xfId="0" applyNumberFormat="1" applyFont="1" applyFill="1" applyBorder="1" applyAlignment="1">
      <alignment horizontal="center" vertical="center"/>
    </xf>
    <xf numFmtId="49" fontId="29" fillId="0" borderId="2" xfId="0" applyNumberFormat="1" applyFont="1" applyFill="1" applyBorder="1" applyAlignment="1">
      <alignment horizontal="center" vertical="center"/>
    </xf>
    <xf numFmtId="49" fontId="29" fillId="0" borderId="2" xfId="0" applyNumberFormat="1" applyFont="1" applyFill="1" applyBorder="1" applyAlignment="1">
      <alignment horizontal="right" vertical="center"/>
    </xf>
    <xf numFmtId="0" fontId="8" fillId="0" borderId="26" xfId="0" applyFont="1" applyFill="1" applyBorder="1" applyAlignment="1">
      <alignment horizontal="center" vertical="center" wrapText="1"/>
    </xf>
    <xf numFmtId="4" fontId="8" fillId="0" borderId="26" xfId="0" applyNumberFormat="1" applyFont="1" applyFill="1" applyBorder="1" applyAlignment="1">
      <alignment horizontal="center" vertical="center" wrapText="1"/>
    </xf>
    <xf numFmtId="167" fontId="8" fillId="0" borderId="26" xfId="0" applyNumberFormat="1" applyFont="1" applyFill="1" applyBorder="1" applyAlignment="1">
      <alignment horizontal="center" vertical="center" wrapText="1"/>
    </xf>
    <xf numFmtId="4" fontId="25" fillId="0" borderId="17" xfId="0" applyNumberFormat="1" applyFont="1" applyFill="1" applyBorder="1" applyAlignment="1">
      <alignment horizontal="right" vertical="center"/>
    </xf>
    <xf numFmtId="2" fontId="8" fillId="0" borderId="26" xfId="0" applyNumberFormat="1" applyFont="1" applyFill="1" applyBorder="1" applyAlignment="1">
      <alignment horizontal="right" vertical="center" wrapText="1"/>
    </xf>
    <xf numFmtId="4" fontId="8" fillId="0" borderId="26" xfId="0" applyNumberFormat="1" applyFont="1" applyFill="1" applyBorder="1" applyAlignment="1">
      <alignment horizontal="right" vertical="center" wrapText="1"/>
    </xf>
    <xf numFmtId="4" fontId="28" fillId="0" borderId="2" xfId="0" applyNumberFormat="1" applyFont="1" applyFill="1" applyBorder="1" applyAlignment="1">
      <alignment horizontal="right" vertical="center"/>
    </xf>
    <xf numFmtId="4" fontId="24" fillId="0" borderId="2" xfId="0" applyNumberFormat="1" applyFont="1" applyFill="1" applyBorder="1" applyAlignment="1">
      <alignment horizontal="right" vertical="center" wrapText="1"/>
    </xf>
    <xf numFmtId="4" fontId="28" fillId="0" borderId="2" xfId="0" applyNumberFormat="1" applyFont="1" applyFill="1" applyBorder="1" applyAlignment="1">
      <alignment horizontal="right"/>
    </xf>
    <xf numFmtId="0" fontId="28" fillId="0" borderId="17" xfId="0" applyFont="1" applyFill="1" applyBorder="1" applyAlignment="1">
      <alignment vertical="center" wrapText="1"/>
    </xf>
    <xf numFmtId="4" fontId="28" fillId="0" borderId="2" xfId="0" applyNumberFormat="1" applyFont="1" applyFill="1" applyBorder="1" applyAlignment="1">
      <alignment horizontal="center" vertical="center" wrapText="1"/>
    </xf>
    <xf numFmtId="167" fontId="28" fillId="0" borderId="2" xfId="0" applyNumberFormat="1" applyFont="1" applyFill="1" applyBorder="1" applyAlignment="1">
      <alignment horizontal="center" vertical="center" wrapText="1"/>
    </xf>
    <xf numFmtId="0" fontId="28" fillId="0" borderId="17" xfId="0" applyFont="1" applyFill="1" applyBorder="1" applyAlignment="1">
      <alignment horizontal="center" vertical="center" wrapText="1"/>
    </xf>
    <xf numFmtId="0" fontId="8" fillId="0" borderId="17" xfId="0" applyFont="1" applyFill="1" applyBorder="1" applyAlignment="1">
      <alignment horizontal="center" vertical="center" wrapText="1"/>
    </xf>
    <xf numFmtId="0" fontId="28" fillId="0" borderId="2" xfId="0" applyFont="1" applyFill="1" applyBorder="1" applyAlignment="1">
      <alignment vertical="center" wrapText="1"/>
    </xf>
    <xf numFmtId="2" fontId="29" fillId="0" borderId="2" xfId="0" applyNumberFormat="1" applyFont="1" applyFill="1" applyBorder="1" applyAlignment="1">
      <alignment horizontal="right" vertical="center" wrapText="1"/>
    </xf>
    <xf numFmtId="0" fontId="28" fillId="5" borderId="0" xfId="0" applyFont="1" applyFill="1" applyBorder="1" applyAlignment="1">
      <alignment vertical="center"/>
    </xf>
    <xf numFmtId="4" fontId="17" fillId="5" borderId="0" xfId="0" applyNumberFormat="1" applyFont="1" applyFill="1" applyAlignment="1">
      <alignment vertical="center"/>
    </xf>
    <xf numFmtId="0" fontId="17" fillId="5" borderId="0" xfId="0" applyFont="1" applyFill="1" applyAlignment="1">
      <alignment vertical="center"/>
    </xf>
    <xf numFmtId="9" fontId="8" fillId="0" borderId="0" xfId="9" applyFont="1" applyFill="1" applyAlignment="1">
      <alignment horizontal="center" vertical="center"/>
    </xf>
    <xf numFmtId="49" fontId="8" fillId="0" borderId="2" xfId="7" applyNumberFormat="1" applyFont="1" applyFill="1" applyBorder="1" applyAlignment="1">
      <alignment horizontal="center" vertical="center"/>
    </xf>
    <xf numFmtId="0" fontId="28" fillId="0" borderId="2" xfId="0" applyFont="1" applyFill="1" applyBorder="1" applyAlignment="1">
      <alignment horizontal="center" vertical="center" wrapText="1"/>
    </xf>
    <xf numFmtId="49" fontId="28" fillId="0" borderId="2" xfId="7" applyNumberFormat="1" applyFont="1" applyFill="1" applyBorder="1" applyAlignment="1">
      <alignment horizontal="center" vertical="center"/>
    </xf>
    <xf numFmtId="0" fontId="29" fillId="0" borderId="2" xfId="0" applyFont="1" applyFill="1" applyBorder="1" applyAlignment="1">
      <alignment horizontal="center" vertical="center" wrapText="1"/>
    </xf>
    <xf numFmtId="0" fontId="29" fillId="0" borderId="17" xfId="0" applyFont="1" applyFill="1" applyBorder="1" applyAlignment="1">
      <alignment horizontal="center" vertical="center" wrapText="1"/>
    </xf>
    <xf numFmtId="0" fontId="29" fillId="0" borderId="17" xfId="0" applyFont="1" applyFill="1" applyBorder="1" applyAlignment="1">
      <alignment vertical="center" wrapText="1"/>
    </xf>
    <xf numFmtId="4" fontId="29" fillId="0" borderId="2" xfId="0" applyNumberFormat="1" applyFont="1" applyFill="1" applyBorder="1" applyAlignment="1">
      <alignment horizontal="center" vertical="center" wrapText="1"/>
    </xf>
    <xf numFmtId="167" fontId="29" fillId="0" borderId="2" xfId="0" applyNumberFormat="1" applyFont="1" applyFill="1" applyBorder="1" applyAlignment="1">
      <alignment horizontal="center" vertical="center" wrapText="1"/>
    </xf>
    <xf numFmtId="49" fontId="29" fillId="0" borderId="2" xfId="7" applyNumberFormat="1" applyFont="1" applyFill="1" applyBorder="1" applyAlignment="1">
      <alignment horizontal="center" vertical="center"/>
    </xf>
    <xf numFmtId="0" fontId="29" fillId="0" borderId="2" xfId="0" applyFont="1" applyFill="1" applyBorder="1" applyAlignment="1">
      <alignment horizontal="center" vertical="center"/>
    </xf>
    <xf numFmtId="0" fontId="29" fillId="0" borderId="2" xfId="0" applyFont="1" applyFill="1" applyBorder="1" applyAlignment="1">
      <alignment vertical="center" wrapText="1"/>
    </xf>
    <xf numFmtId="4" fontId="25" fillId="0" borderId="2" xfId="0" applyNumberFormat="1" applyFont="1" applyFill="1" applyBorder="1" applyAlignment="1">
      <alignment horizontal="right" vertical="center"/>
    </xf>
    <xf numFmtId="4" fontId="25" fillId="0" borderId="2" xfId="0" applyNumberFormat="1" applyFont="1" applyFill="1" applyBorder="1" applyAlignment="1">
      <alignment horizontal="right" vertical="center" wrapText="1"/>
    </xf>
    <xf numFmtId="4" fontId="29" fillId="0" borderId="2" xfId="0" applyNumberFormat="1" applyFont="1" applyFill="1" applyBorder="1" applyAlignment="1">
      <alignment horizontal="right" vertical="center"/>
    </xf>
    <xf numFmtId="4" fontId="29" fillId="0" borderId="2" xfId="1" applyNumberFormat="1" applyFont="1" applyFill="1" applyBorder="1" applyAlignment="1">
      <alignment horizontal="right" vertical="center"/>
    </xf>
    <xf numFmtId="17" fontId="29" fillId="0" borderId="17" xfId="0" applyNumberFormat="1" applyFont="1" applyFill="1" applyBorder="1" applyAlignment="1">
      <alignment vertical="center" wrapText="1"/>
    </xf>
    <xf numFmtId="9" fontId="29" fillId="0" borderId="2" xfId="9" applyFont="1" applyFill="1" applyBorder="1" applyAlignment="1">
      <alignment horizontal="center" vertical="center"/>
    </xf>
    <xf numFmtId="9" fontId="8" fillId="0" borderId="2" xfId="9" applyFont="1" applyFill="1" applyBorder="1" applyAlignment="1">
      <alignment horizontal="center" vertical="center"/>
    </xf>
    <xf numFmtId="9" fontId="28" fillId="0" borderId="2" xfId="9" applyFont="1" applyFill="1" applyBorder="1" applyAlignment="1">
      <alignment horizontal="center" vertical="center"/>
    </xf>
    <xf numFmtId="4" fontId="29" fillId="0" borderId="2" xfId="0" applyNumberFormat="1" applyFont="1" applyFill="1" applyBorder="1" applyAlignment="1">
      <alignment horizontal="right"/>
    </xf>
    <xf numFmtId="0" fontId="29" fillId="0" borderId="2" xfId="0" applyFont="1" applyFill="1" applyBorder="1" applyAlignment="1">
      <alignment vertical="center"/>
    </xf>
    <xf numFmtId="17" fontId="29" fillId="0" borderId="17" xfId="0" applyNumberFormat="1" applyFont="1" applyFill="1" applyBorder="1" applyAlignment="1">
      <alignment horizontal="center" vertical="center" wrapText="1"/>
    </xf>
    <xf numFmtId="17" fontId="29" fillId="0" borderId="2" xfId="0" applyNumberFormat="1" applyFont="1" applyFill="1" applyBorder="1" applyAlignment="1">
      <alignment horizontal="center" vertical="center" wrapText="1"/>
    </xf>
    <xf numFmtId="4" fontId="29" fillId="0" borderId="2" xfId="0" applyNumberFormat="1" applyFont="1" applyFill="1" applyBorder="1" applyAlignment="1">
      <alignment horizontal="right" vertical="center" wrapText="1"/>
    </xf>
    <xf numFmtId="0" fontId="29" fillId="0" borderId="2" xfId="0" applyFont="1" applyFill="1" applyBorder="1" applyAlignment="1">
      <alignment horizontal="right" vertical="center"/>
    </xf>
    <xf numFmtId="4" fontId="8" fillId="0" borderId="2" xfId="0" applyNumberFormat="1" applyFont="1" applyFill="1" applyBorder="1" applyAlignment="1">
      <alignment horizontal="right" wrapText="1"/>
    </xf>
    <xf numFmtId="167" fontId="8" fillId="0" borderId="2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vertical="center"/>
    </xf>
    <xf numFmtId="0" fontId="0" fillId="0" borderId="0" xfId="0" applyFill="1" applyAlignment="1">
      <alignment horizontal="center" wrapText="1" shrinkToFit="1"/>
    </xf>
    <xf numFmtId="4" fontId="25" fillId="0" borderId="2" xfId="0" applyNumberFormat="1" applyFont="1" applyFill="1" applyBorder="1" applyAlignment="1">
      <alignment vertical="center" wrapText="1"/>
    </xf>
    <xf numFmtId="4" fontId="25" fillId="0" borderId="2" xfId="0" applyNumberFormat="1" applyFont="1" applyFill="1" applyBorder="1" applyAlignment="1">
      <alignment vertical="center"/>
    </xf>
    <xf numFmtId="4" fontId="9" fillId="0" borderId="2" xfId="0" applyNumberFormat="1" applyFont="1" applyFill="1" applyBorder="1" applyAlignment="1">
      <alignment vertical="center" wrapText="1"/>
    </xf>
    <xf numFmtId="4" fontId="9" fillId="0" borderId="2" xfId="0" applyNumberFormat="1" applyFont="1" applyFill="1" applyBorder="1" applyAlignment="1">
      <alignment vertical="center"/>
    </xf>
    <xf numFmtId="0" fontId="29" fillId="0" borderId="2" xfId="0" applyFont="1" applyFill="1" applyBorder="1" applyAlignment="1">
      <alignment horizontal="right"/>
    </xf>
    <xf numFmtId="1" fontId="8" fillId="0" borderId="2" xfId="0" applyNumberFormat="1" applyFont="1" applyFill="1" applyBorder="1" applyAlignment="1">
      <alignment horizontal="center" vertical="center"/>
    </xf>
    <xf numFmtId="0" fontId="28" fillId="0" borderId="2" xfId="0" applyFont="1" applyFill="1" applyBorder="1" applyAlignment="1">
      <alignment horizontal="center" vertical="center"/>
    </xf>
    <xf numFmtId="4" fontId="24" fillId="0" borderId="2" xfId="0" applyNumberFormat="1" applyFont="1" applyFill="1" applyBorder="1" applyAlignment="1">
      <alignment horizontal="center" vertical="center" wrapText="1"/>
    </xf>
    <xf numFmtId="4" fontId="8" fillId="0" borderId="2" xfId="0" applyNumberFormat="1" applyFont="1" applyFill="1" applyBorder="1" applyAlignment="1">
      <alignment vertical="center" wrapText="1"/>
    </xf>
    <xf numFmtId="0" fontId="28" fillId="0" borderId="2" xfId="0" applyFont="1" applyFill="1" applyBorder="1" applyAlignment="1">
      <alignment vertical="center"/>
    </xf>
    <xf numFmtId="49" fontId="8" fillId="0" borderId="26" xfId="0" applyNumberFormat="1" applyFont="1" applyFill="1" applyBorder="1" applyAlignment="1">
      <alignment horizontal="center" vertical="center"/>
    </xf>
    <xf numFmtId="0" fontId="8" fillId="0" borderId="26" xfId="0" applyFont="1" applyFill="1" applyBorder="1" applyAlignment="1">
      <alignment vertical="center" wrapText="1"/>
    </xf>
    <xf numFmtId="17" fontId="8" fillId="0" borderId="26" xfId="0" applyNumberFormat="1" applyFont="1" applyFill="1" applyBorder="1" applyAlignment="1">
      <alignment horizontal="center" vertical="center" wrapText="1"/>
    </xf>
    <xf numFmtId="4" fontId="9" fillId="0" borderId="26" xfId="0" applyNumberFormat="1" applyFont="1" applyFill="1" applyBorder="1" applyAlignment="1">
      <alignment horizontal="right" vertical="center" wrapText="1"/>
    </xf>
    <xf numFmtId="4" fontId="9" fillId="0" borderId="26" xfId="0" applyNumberFormat="1" applyFont="1" applyFill="1" applyBorder="1" applyAlignment="1">
      <alignment horizontal="right" vertical="center"/>
    </xf>
    <xf numFmtId="9" fontId="8" fillId="0" borderId="26" xfId="9" applyFont="1" applyFill="1" applyBorder="1" applyAlignment="1">
      <alignment horizontal="center" vertical="center"/>
    </xf>
    <xf numFmtId="0" fontId="28" fillId="0" borderId="0" xfId="0" applyFont="1" applyFill="1"/>
    <xf numFmtId="0" fontId="8" fillId="0" borderId="26" xfId="0" applyFont="1" applyFill="1" applyBorder="1" applyAlignment="1">
      <alignment vertical="center"/>
    </xf>
    <xf numFmtId="167" fontId="28" fillId="0" borderId="2" xfId="0" applyNumberFormat="1" applyFont="1" applyFill="1" applyBorder="1" applyAlignment="1">
      <alignment horizontal="center" vertical="center"/>
    </xf>
    <xf numFmtId="168" fontId="24" fillId="0" borderId="2" xfId="1" applyNumberFormat="1" applyFont="1" applyFill="1" applyBorder="1" applyAlignment="1">
      <alignment horizontal="right"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right" vertical="center"/>
    </xf>
    <xf numFmtId="0" fontId="0" fillId="0" borderId="0" xfId="0" applyFill="1" applyAlignment="1">
      <alignment horizontal="center" wrapText="1"/>
    </xf>
    <xf numFmtId="0" fontId="31" fillId="0" borderId="0" xfId="0" applyFont="1" applyFill="1" applyAlignment="1">
      <alignment horizontal="left"/>
    </xf>
    <xf numFmtId="0" fontId="30" fillId="0" borderId="0" xfId="0" applyFont="1" applyFill="1" applyAlignment="1">
      <alignment horizontal="center"/>
    </xf>
    <xf numFmtId="4" fontId="24" fillId="0" borderId="2" xfId="0" applyNumberFormat="1" applyFont="1" applyFill="1" applyBorder="1" applyAlignment="1">
      <alignment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49" fontId="28" fillId="0" borderId="2" xfId="0" applyNumberFormat="1" applyFont="1" applyFill="1" applyBorder="1" applyAlignment="1">
      <alignment horizontal="center" vertical="center"/>
    </xf>
    <xf numFmtId="17" fontId="28" fillId="0" borderId="17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0" fontId="2" fillId="0" borderId="0" xfId="0" applyFont="1" applyFill="1"/>
    <xf numFmtId="0" fontId="33" fillId="0" borderId="0" xfId="0" applyFont="1" applyFill="1" applyAlignment="1">
      <alignment horizontal="center" vertical="center"/>
    </xf>
    <xf numFmtId="9" fontId="33" fillId="0" borderId="0" xfId="10" applyFont="1" applyFill="1" applyAlignment="1">
      <alignment horizontal="center" vertical="center"/>
    </xf>
    <xf numFmtId="4" fontId="33" fillId="0" borderId="0" xfId="0" applyNumberFormat="1" applyFont="1" applyFill="1" applyAlignment="1">
      <alignment horizontal="center" vertical="center"/>
    </xf>
    <xf numFmtId="4" fontId="34" fillId="0" borderId="0" xfId="0" applyNumberFormat="1" applyFont="1" applyFill="1" applyAlignment="1">
      <alignment vertical="center"/>
    </xf>
    <xf numFmtId="0" fontId="34" fillId="0" borderId="0" xfId="0" applyFont="1" applyFill="1" applyAlignment="1">
      <alignment vertical="center"/>
    </xf>
    <xf numFmtId="0" fontId="33" fillId="0" borderId="0" xfId="0" applyFont="1" applyFill="1" applyBorder="1" applyAlignment="1">
      <alignment horizontal="center" vertical="center"/>
    </xf>
    <xf numFmtId="9" fontId="33" fillId="0" borderId="0" xfId="10" applyFont="1" applyFill="1" applyBorder="1" applyAlignment="1">
      <alignment horizontal="center" vertical="center"/>
    </xf>
    <xf numFmtId="4" fontId="33" fillId="0" borderId="0" xfId="0" applyNumberFormat="1" applyFont="1" applyFill="1" applyBorder="1" applyAlignment="1">
      <alignment horizontal="center" vertical="center"/>
    </xf>
    <xf numFmtId="0" fontId="33" fillId="5" borderId="0" xfId="0" applyFont="1" applyFill="1" applyBorder="1" applyAlignment="1">
      <alignment vertical="center"/>
    </xf>
    <xf numFmtId="166" fontId="8" fillId="0" borderId="2" xfId="0" applyNumberFormat="1" applyFont="1" applyFill="1" applyBorder="1" applyAlignment="1">
      <alignment horizontal="center" vertical="center" wrapText="1"/>
    </xf>
    <xf numFmtId="0" fontId="32" fillId="5" borderId="0" xfId="0" applyFont="1" applyFill="1" applyBorder="1" applyAlignment="1">
      <alignment vertical="center"/>
    </xf>
    <xf numFmtId="0" fontId="36" fillId="5" borderId="0" xfId="0" applyFont="1" applyFill="1" applyBorder="1" applyAlignment="1">
      <alignment vertical="center"/>
    </xf>
    <xf numFmtId="0" fontId="0" fillId="9" borderId="0" xfId="0" applyFill="1" applyBorder="1" applyAlignment="1">
      <alignment vertical="center"/>
    </xf>
    <xf numFmtId="0" fontId="0" fillId="8" borderId="0" xfId="0" applyFill="1" applyAlignment="1">
      <alignment horizontal="center" vertical="center"/>
    </xf>
    <xf numFmtId="9" fontId="13" fillId="8" borderId="0" xfId="10" applyFont="1" applyFill="1" applyAlignment="1">
      <alignment horizontal="center" vertical="center"/>
    </xf>
    <xf numFmtId="4" fontId="0" fillId="8" borderId="0" xfId="0" applyNumberFormat="1" applyFill="1" applyAlignment="1">
      <alignment horizontal="center" vertical="center"/>
    </xf>
    <xf numFmtId="0" fontId="0" fillId="8" borderId="0" xfId="0" applyFill="1"/>
    <xf numFmtId="0" fontId="33" fillId="8" borderId="0" xfId="0" applyFont="1" applyFill="1" applyBorder="1" applyAlignment="1">
      <alignment vertical="center"/>
    </xf>
    <xf numFmtId="0" fontId="37" fillId="0" borderId="2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25" fillId="0" borderId="2" xfId="0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4" fontId="0" fillId="0" borderId="0" xfId="0" applyNumberFormat="1" applyFill="1" applyAlignment="1">
      <alignment horizontal="right"/>
    </xf>
    <xf numFmtId="167" fontId="28" fillId="5" borderId="2" xfId="0" applyNumberFormat="1" applyFont="1" applyFill="1" applyBorder="1" applyAlignment="1">
      <alignment horizontal="center" vertical="center" wrapText="1"/>
    </xf>
    <xf numFmtId="4" fontId="0" fillId="0" borderId="0" xfId="0" applyNumberFormat="1" applyFill="1" applyAlignment="1">
      <alignment vertical="center"/>
    </xf>
    <xf numFmtId="167" fontId="0" fillId="0" borderId="0" xfId="0" applyNumberFormat="1" applyFill="1"/>
    <xf numFmtId="0" fontId="5" fillId="5" borderId="31" xfId="0" applyFont="1" applyFill="1" applyBorder="1" applyAlignment="1">
      <alignment horizontal="center" vertical="center"/>
    </xf>
    <xf numFmtId="0" fontId="5" fillId="5" borderId="32" xfId="0" applyFont="1" applyFill="1" applyBorder="1" applyAlignment="1">
      <alignment horizontal="center" vertical="center"/>
    </xf>
    <xf numFmtId="0" fontId="5" fillId="5" borderId="33" xfId="0" applyFont="1" applyFill="1" applyBorder="1" applyAlignment="1">
      <alignment horizontal="center" vertical="center"/>
    </xf>
    <xf numFmtId="0" fontId="5" fillId="5" borderId="34" xfId="0" applyFont="1" applyFill="1" applyBorder="1" applyAlignment="1">
      <alignment horizontal="center" vertical="center"/>
    </xf>
    <xf numFmtId="0" fontId="5" fillId="5" borderId="0" xfId="0" applyFont="1" applyFill="1" applyBorder="1" applyAlignment="1">
      <alignment horizontal="center" vertical="center"/>
    </xf>
    <xf numFmtId="0" fontId="5" fillId="5" borderId="35" xfId="0" applyFont="1" applyFill="1" applyBorder="1" applyAlignment="1">
      <alignment horizontal="center" vertical="center"/>
    </xf>
    <xf numFmtId="0" fontId="4" fillId="5" borderId="36" xfId="0" applyFont="1" applyFill="1" applyBorder="1" applyAlignment="1">
      <alignment horizontal="center" vertical="center"/>
    </xf>
    <xf numFmtId="0" fontId="4" fillId="5" borderId="37" xfId="0" applyFont="1" applyFill="1" applyBorder="1" applyAlignment="1">
      <alignment horizontal="center" vertical="center"/>
    </xf>
    <xf numFmtId="0" fontId="4" fillId="5" borderId="38" xfId="0" applyFont="1" applyFill="1" applyBorder="1" applyAlignment="1">
      <alignment horizontal="center" vertical="center"/>
    </xf>
    <xf numFmtId="0" fontId="7" fillId="0" borderId="39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7" fillId="0" borderId="40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41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42" xfId="0" applyFont="1" applyFill="1" applyBorder="1" applyAlignment="1">
      <alignment horizontal="center" vertical="center" wrapText="1"/>
    </xf>
    <xf numFmtId="0" fontId="7" fillId="0" borderId="30" xfId="0" applyFont="1" applyFill="1" applyBorder="1" applyAlignment="1">
      <alignment horizontal="center" vertical="center" wrapText="1"/>
    </xf>
    <xf numFmtId="0" fontId="7" fillId="6" borderId="39" xfId="0" applyFont="1" applyFill="1" applyBorder="1" applyAlignment="1">
      <alignment horizontal="center" vertical="center" wrapText="1"/>
    </xf>
    <xf numFmtId="0" fontId="7" fillId="6" borderId="11" xfId="0" applyFont="1" applyFill="1" applyBorder="1" applyAlignment="1">
      <alignment horizontal="center" vertical="center" wrapText="1"/>
    </xf>
    <xf numFmtId="0" fontId="5" fillId="0" borderId="43" xfId="0" applyFont="1" applyFill="1" applyBorder="1" applyAlignment="1">
      <alignment horizontal="center" vertical="center"/>
    </xf>
    <xf numFmtId="0" fontId="5" fillId="0" borderId="44" xfId="0" applyFont="1" applyFill="1" applyBorder="1" applyAlignment="1">
      <alignment horizontal="center" vertical="center"/>
    </xf>
    <xf numFmtId="0" fontId="5" fillId="0" borderId="45" xfId="0" applyFont="1" applyFill="1" applyBorder="1" applyAlignment="1">
      <alignment horizontal="center" vertical="center"/>
    </xf>
    <xf numFmtId="0" fontId="8" fillId="0" borderId="0" xfId="8" applyFont="1" applyFill="1" applyAlignment="1">
      <alignment horizontal="left" vertical="center"/>
    </xf>
    <xf numFmtId="0" fontId="29" fillId="0" borderId="0" xfId="8" applyFont="1" applyFill="1" applyAlignment="1">
      <alignment horizontal="left" vertical="center"/>
    </xf>
    <xf numFmtId="0" fontId="28" fillId="0" borderId="0" xfId="0" applyFont="1" applyFill="1" applyAlignment="1">
      <alignment horizontal="left" vertical="center"/>
    </xf>
    <xf numFmtId="0" fontId="35" fillId="0" borderId="0" xfId="0" applyFont="1" applyFill="1" applyAlignment="1">
      <alignment horizontal="left"/>
    </xf>
    <xf numFmtId="0" fontId="25" fillId="0" borderId="2" xfId="0" applyFont="1" applyFill="1" applyBorder="1" applyAlignment="1">
      <alignment horizontal="center" vertical="center" wrapText="1" shrinkToFit="1"/>
    </xf>
    <xf numFmtId="0" fontId="24" fillId="0" borderId="2" xfId="0" applyFont="1" applyFill="1" applyBorder="1" applyAlignment="1">
      <alignment horizontal="center" vertical="center" wrapText="1" shrinkToFit="1"/>
    </xf>
    <xf numFmtId="0" fontId="20" fillId="0" borderId="2" xfId="0" applyFont="1" applyFill="1" applyBorder="1" applyAlignment="1">
      <alignment horizontal="center" vertical="center" wrapText="1"/>
    </xf>
    <xf numFmtId="0" fontId="25" fillId="0" borderId="17" xfId="0" applyFont="1" applyFill="1" applyBorder="1" applyAlignment="1">
      <alignment horizontal="center" vertical="center" wrapText="1"/>
    </xf>
    <xf numFmtId="0" fontId="25" fillId="0" borderId="46" xfId="0" applyFont="1" applyFill="1" applyBorder="1" applyAlignment="1">
      <alignment horizontal="center" vertical="center" wrapText="1"/>
    </xf>
    <xf numFmtId="0" fontId="25" fillId="0" borderId="16" xfId="0" applyFont="1" applyFill="1" applyBorder="1" applyAlignment="1">
      <alignment horizontal="center" vertical="center" wrapText="1"/>
    </xf>
    <xf numFmtId="0" fontId="20" fillId="0" borderId="17" xfId="0" applyFont="1" applyFill="1" applyBorder="1" applyAlignment="1">
      <alignment horizontal="center" vertical="center" wrapText="1"/>
    </xf>
    <xf numFmtId="0" fontId="20" fillId="0" borderId="46" xfId="0" applyFont="1" applyFill="1" applyBorder="1" applyAlignment="1">
      <alignment horizontal="center" vertical="center" wrapText="1"/>
    </xf>
    <xf numFmtId="0" fontId="20" fillId="0" borderId="16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20" fillId="0" borderId="27" xfId="0" applyFont="1" applyFill="1" applyBorder="1" applyAlignment="1">
      <alignment horizontal="center" vertical="center" wrapText="1"/>
    </xf>
    <xf numFmtId="0" fontId="20" fillId="0" borderId="47" xfId="0" applyFont="1" applyFill="1" applyBorder="1" applyAlignment="1">
      <alignment horizontal="center" vertical="center" wrapText="1"/>
    </xf>
    <xf numFmtId="0" fontId="20" fillId="0" borderId="25" xfId="0" applyFont="1" applyFill="1" applyBorder="1" applyAlignment="1">
      <alignment horizontal="center" vertical="center" wrapText="1"/>
    </xf>
    <xf numFmtId="0" fontId="20" fillId="0" borderId="5" xfId="0" applyFont="1" applyFill="1" applyBorder="1" applyAlignment="1">
      <alignment horizontal="center" vertical="center" wrapText="1"/>
    </xf>
    <xf numFmtId="0" fontId="20" fillId="0" borderId="26" xfId="0" applyFont="1" applyFill="1" applyBorder="1" applyAlignment="1">
      <alignment horizontal="center" vertical="center" wrapText="1"/>
    </xf>
    <xf numFmtId="0" fontId="20" fillId="0" borderId="30" xfId="0" applyFont="1" applyFill="1" applyBorder="1" applyAlignment="1">
      <alignment horizontal="center" vertical="center" wrapText="1"/>
    </xf>
    <xf numFmtId="0" fontId="25" fillId="0" borderId="2" xfId="0" applyFont="1" applyFill="1" applyBorder="1" applyAlignment="1">
      <alignment horizontal="center" vertical="center" wrapText="1"/>
    </xf>
  </cellXfs>
  <cellStyles count="11">
    <cellStyle name="Dziesiętny" xfId="1" builtinId="3"/>
    <cellStyle name="Dziesiętny 2" xfId="2"/>
    <cellStyle name="Dziesiętny 3" xfId="3"/>
    <cellStyle name="Dziesiętny 4" xfId="4"/>
    <cellStyle name="Excel Built-in Normal" xfId="5"/>
    <cellStyle name="Normalny" xfId="0" builtinId="0"/>
    <cellStyle name="Normalny 2" xfId="6"/>
    <cellStyle name="Normalny 2 2" xfId="7"/>
    <cellStyle name="Normalny 3" xfId="8"/>
    <cellStyle name="Procentowy" xfId="9" builtinId="5"/>
    <cellStyle name="Procentowy 2" xfId="10"/>
  </cellStyles>
  <dxfs count="4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Arkusz8">
    <pageSetUpPr fitToPage="1"/>
  </sheetPr>
  <dimension ref="A1:X42"/>
  <sheetViews>
    <sheetView tabSelected="1" view="pageBreakPreview" zoomScaleSheetLayoutView="100" zoomScalePageLayoutView="70" workbookViewId="0"/>
  </sheetViews>
  <sheetFormatPr defaultRowHeight="15"/>
  <cols>
    <col min="1" max="1" width="32.140625" style="7" customWidth="1"/>
    <col min="2" max="2" width="10.7109375" style="7" customWidth="1"/>
    <col min="3" max="5" width="20.7109375" style="7" customWidth="1"/>
    <col min="6" max="7" width="15.7109375" style="7" customWidth="1"/>
    <col min="8" max="8" width="18.42578125" style="7" customWidth="1"/>
    <col min="9" max="10" width="17.140625" style="7" bestFit="1" customWidth="1"/>
    <col min="11" max="11" width="15.7109375" style="7" customWidth="1"/>
    <col min="12" max="12" width="17.140625" style="7" customWidth="1"/>
    <col min="13" max="15" width="15.7109375" style="7" customWidth="1"/>
    <col min="16" max="16" width="9.140625" style="7"/>
    <col min="17" max="17" width="11.7109375" style="7" bestFit="1" customWidth="1"/>
    <col min="18" max="18" width="13.42578125" style="3" customWidth="1"/>
    <col min="19" max="16384" width="9.140625" style="3"/>
  </cols>
  <sheetData>
    <row r="1" spans="1:24" s="152" customFormat="1" ht="30" customHeight="1" thickBot="1">
      <c r="A1" s="149" t="s">
        <v>208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1"/>
      <c r="S1" s="151"/>
      <c r="T1" s="151"/>
      <c r="U1" s="151"/>
      <c r="V1" s="151"/>
      <c r="W1" s="151"/>
      <c r="X1" s="151"/>
    </row>
    <row r="2" spans="1:24" s="155" customFormat="1">
      <c r="A2" s="153"/>
      <c r="B2" s="153"/>
      <c r="C2" s="153"/>
      <c r="D2" s="153"/>
      <c r="E2" s="153"/>
      <c r="F2" s="327" t="s">
        <v>18</v>
      </c>
      <c r="G2" s="328"/>
      <c r="H2" s="328"/>
      <c r="I2" s="328"/>
      <c r="J2" s="328"/>
      <c r="K2" s="328"/>
      <c r="L2" s="328"/>
      <c r="M2" s="328"/>
      <c r="N2" s="329"/>
      <c r="O2" s="153"/>
      <c r="P2" s="153"/>
      <c r="Q2" s="153"/>
      <c r="R2" s="154"/>
      <c r="S2" s="154"/>
      <c r="T2" s="154"/>
      <c r="U2" s="154"/>
      <c r="V2" s="154"/>
      <c r="W2" s="154"/>
      <c r="X2" s="154"/>
    </row>
    <row r="3" spans="1:24" s="155" customFormat="1">
      <c r="A3" s="156"/>
      <c r="B3" s="153"/>
      <c r="C3" s="153"/>
      <c r="D3" s="153"/>
      <c r="E3" s="153"/>
      <c r="F3" s="330"/>
      <c r="G3" s="331"/>
      <c r="H3" s="331"/>
      <c r="I3" s="331"/>
      <c r="J3" s="331"/>
      <c r="K3" s="331"/>
      <c r="L3" s="331"/>
      <c r="M3" s="331"/>
      <c r="N3" s="332"/>
      <c r="O3" s="157"/>
      <c r="P3" s="157"/>
      <c r="Q3" s="157"/>
      <c r="X3" s="154"/>
    </row>
    <row r="4" spans="1:24" s="155" customFormat="1">
      <c r="A4" s="310" t="s">
        <v>561</v>
      </c>
      <c r="B4" s="311"/>
      <c r="C4" s="311"/>
      <c r="D4" s="159"/>
      <c r="E4" s="159"/>
      <c r="F4" s="330"/>
      <c r="G4" s="331"/>
      <c r="H4" s="331"/>
      <c r="I4" s="331"/>
      <c r="J4" s="331"/>
      <c r="K4" s="331"/>
      <c r="L4" s="331"/>
      <c r="M4" s="331"/>
      <c r="N4" s="332"/>
      <c r="O4" s="157"/>
      <c r="P4" s="157"/>
      <c r="Q4" s="157"/>
      <c r="X4" s="160"/>
    </row>
    <row r="5" spans="1:24" s="155" customFormat="1">
      <c r="A5" s="311"/>
      <c r="B5" s="311"/>
      <c r="C5" s="311"/>
      <c r="D5" s="159"/>
      <c r="E5" s="159"/>
      <c r="F5" s="330"/>
      <c r="G5" s="331"/>
      <c r="H5" s="331"/>
      <c r="I5" s="331"/>
      <c r="J5" s="331"/>
      <c r="K5" s="331"/>
      <c r="L5" s="331"/>
      <c r="M5" s="331"/>
      <c r="N5" s="332"/>
      <c r="O5" s="157"/>
      <c r="P5" s="157"/>
      <c r="Q5" s="157"/>
      <c r="X5" s="154"/>
    </row>
    <row r="6" spans="1:24" s="155" customFormat="1">
      <c r="A6" s="310" t="s">
        <v>562</v>
      </c>
      <c r="B6" s="311"/>
      <c r="C6" s="311"/>
      <c r="D6" s="159"/>
      <c r="E6" s="159"/>
      <c r="F6" s="330"/>
      <c r="G6" s="331"/>
      <c r="H6" s="331"/>
      <c r="I6" s="331"/>
      <c r="J6" s="331"/>
      <c r="K6" s="331"/>
      <c r="L6" s="331"/>
      <c r="M6" s="331"/>
      <c r="N6" s="332"/>
      <c r="O6" s="157"/>
      <c r="P6" s="157"/>
      <c r="Q6" s="157"/>
      <c r="X6" s="160"/>
    </row>
    <row r="7" spans="1:24" s="155" customFormat="1" ht="15.75" thickBot="1">
      <c r="A7" s="311"/>
      <c r="B7" s="311"/>
      <c r="C7" s="311"/>
      <c r="D7" s="159"/>
      <c r="E7" s="159"/>
      <c r="F7" s="333" t="s">
        <v>19</v>
      </c>
      <c r="G7" s="334"/>
      <c r="H7" s="334"/>
      <c r="I7" s="334"/>
      <c r="J7" s="334"/>
      <c r="K7" s="334"/>
      <c r="L7" s="334"/>
      <c r="M7" s="334"/>
      <c r="N7" s="335"/>
      <c r="O7" s="157"/>
      <c r="P7" s="157"/>
      <c r="Q7" s="157"/>
      <c r="X7" s="154"/>
    </row>
    <row r="8" spans="1:24" s="155" customFormat="1">
      <c r="A8" s="159"/>
      <c r="B8" s="159"/>
      <c r="C8" s="159"/>
      <c r="D8" s="159"/>
      <c r="E8" s="159"/>
      <c r="F8" s="161"/>
      <c r="G8" s="161"/>
      <c r="H8" s="161"/>
      <c r="I8" s="161"/>
      <c r="J8" s="161"/>
      <c r="K8" s="161"/>
      <c r="L8" s="161"/>
      <c r="M8" s="161"/>
      <c r="N8" s="161"/>
      <c r="O8" s="157"/>
      <c r="P8" s="157"/>
      <c r="Q8" s="157"/>
      <c r="X8" s="154"/>
    </row>
    <row r="9" spans="1:24" s="155" customFormat="1" ht="20.100000000000001" customHeight="1" thickBot="1">
      <c r="A9" s="158" t="s">
        <v>0</v>
      </c>
      <c r="B9" s="159"/>
      <c r="C9" s="159"/>
      <c r="D9" s="159"/>
      <c r="E9" s="159"/>
      <c r="F9" s="161"/>
      <c r="G9" s="161"/>
      <c r="H9" s="161"/>
      <c r="I9" s="161"/>
      <c r="J9" s="161"/>
      <c r="K9" s="161"/>
      <c r="L9" s="161"/>
      <c r="M9" s="161"/>
      <c r="N9" s="161"/>
      <c r="O9" s="157"/>
      <c r="P9" s="157"/>
      <c r="Q9" s="157"/>
      <c r="X9" s="154"/>
    </row>
    <row r="10" spans="1:24" ht="20.100000000000001" customHeight="1">
      <c r="A10" s="336" t="s">
        <v>1</v>
      </c>
      <c r="B10" s="338" t="s">
        <v>35</v>
      </c>
      <c r="C10" s="340" t="s">
        <v>20</v>
      </c>
      <c r="D10" s="342" t="s">
        <v>21</v>
      </c>
      <c r="E10" s="344" t="s">
        <v>22</v>
      </c>
      <c r="F10" s="346" t="s">
        <v>12</v>
      </c>
      <c r="G10" s="347"/>
      <c r="H10" s="347"/>
      <c r="I10" s="347"/>
      <c r="J10" s="347"/>
      <c r="K10" s="347"/>
      <c r="L10" s="347"/>
      <c r="M10" s="347"/>
      <c r="N10" s="347"/>
      <c r="O10" s="348"/>
      <c r="P10" s="21"/>
      <c r="Q10" s="21"/>
      <c r="R10" s="2"/>
      <c r="S10" s="2"/>
      <c r="T10" s="2"/>
      <c r="U10" s="2"/>
      <c r="X10" s="6"/>
    </row>
    <row r="11" spans="1:24" s="1" customFormat="1" ht="20.100000000000001" customHeight="1" thickBot="1">
      <c r="A11" s="337"/>
      <c r="B11" s="339"/>
      <c r="C11" s="341"/>
      <c r="D11" s="343"/>
      <c r="E11" s="345"/>
      <c r="F11" s="35">
        <v>2019</v>
      </c>
      <c r="G11" s="36">
        <v>2020</v>
      </c>
      <c r="H11" s="36">
        <v>2021</v>
      </c>
      <c r="I11" s="36">
        <v>2022</v>
      </c>
      <c r="J11" s="36">
        <v>2023</v>
      </c>
      <c r="K11" s="36">
        <v>2024</v>
      </c>
      <c r="L11" s="36">
        <v>2025</v>
      </c>
      <c r="M11" s="36">
        <v>2026</v>
      </c>
      <c r="N11" s="36">
        <v>2027</v>
      </c>
      <c r="O11" s="37">
        <v>2028</v>
      </c>
      <c r="P11" s="8"/>
      <c r="Q11" s="8"/>
      <c r="R11" s="8"/>
      <c r="S11" s="8"/>
      <c r="T11" s="8"/>
      <c r="U11" s="8"/>
      <c r="V11" s="9"/>
      <c r="W11" s="9"/>
      <c r="X11" s="9"/>
    </row>
    <row r="12" spans="1:24" ht="39.950000000000003" customHeight="1" thickTop="1">
      <c r="A12" s="169" t="s">
        <v>36</v>
      </c>
      <c r="B12" s="57">
        <f>COUNTIF('pow podst'!K3:K63,"&gt;0")</f>
        <v>61</v>
      </c>
      <c r="C12" s="58">
        <f>SUM('pow podst'!J3:J63)</f>
        <v>408030387.72000009</v>
      </c>
      <c r="D12" s="59">
        <f>SUM('pow podst'!L3:L63)</f>
        <v>182553746.52000004</v>
      </c>
      <c r="E12" s="60">
        <f>SUM('pow podst'!K3:K63)</f>
        <v>225476641.19999999</v>
      </c>
      <c r="F12" s="61">
        <f>SUM('pow podst'!N3:N63)</f>
        <v>0</v>
      </c>
      <c r="G12" s="58">
        <f>SUM('pow podst'!O3:O63)</f>
        <v>0</v>
      </c>
      <c r="H12" s="58">
        <f>SUM('pow podst'!P3:P63)</f>
        <v>5053507.33</v>
      </c>
      <c r="I12" s="58">
        <f>SUM('pow podst'!Q3:Q63)</f>
        <v>36237130.890000001</v>
      </c>
      <c r="J12" s="58">
        <f>SUM('pow podst'!R3:R63)</f>
        <v>104432990.52000001</v>
      </c>
      <c r="K12" s="58">
        <f>SUM('pow podst'!S3:S63)</f>
        <v>52541212.460000001</v>
      </c>
      <c r="L12" s="58">
        <f>SUM('pow podst'!T3:T63)</f>
        <v>27211800</v>
      </c>
      <c r="M12" s="58">
        <f>SUM('pow podst'!U3:U63)</f>
        <v>0</v>
      </c>
      <c r="N12" s="58">
        <f>SUM('pow podst'!V3:V63)</f>
        <v>0</v>
      </c>
      <c r="O12" s="58">
        <f>SUM('pow podst'!W3:W63)</f>
        <v>0</v>
      </c>
      <c r="P12" s="10" t="b">
        <f>C12=(D12+E12)</f>
        <v>1</v>
      </c>
      <c r="Q12" s="26" t="b">
        <f>E12=SUM(F12:O12)</f>
        <v>1</v>
      </c>
      <c r="R12" s="11"/>
      <c r="S12" s="11"/>
      <c r="T12" s="12"/>
      <c r="U12" s="12"/>
      <c r="V12" s="13"/>
      <c r="W12" s="6"/>
      <c r="X12" s="6"/>
    </row>
    <row r="13" spans="1:24" ht="39.950000000000003" customHeight="1">
      <c r="A13" s="39" t="s">
        <v>37</v>
      </c>
      <c r="B13" s="62">
        <f>COUNTIFS('pow podst'!K3:K63,"&gt;0",'pow podst'!C3:C63,"K")</f>
        <v>28</v>
      </c>
      <c r="C13" s="63">
        <f>SUMIF('pow podst'!C3:C63,"K",'pow podst'!J3:J63)</f>
        <v>201686813.72</v>
      </c>
      <c r="D13" s="64">
        <f>SUMIF('pow podst'!C3:C63,"K",'pow podst'!L3:L63)</f>
        <v>100046414.83000001</v>
      </c>
      <c r="E13" s="65">
        <f>SUMIF('pow podst'!C3:C63,"K",'pow podst'!K3:K63)</f>
        <v>101640398.89000002</v>
      </c>
      <c r="F13" s="66">
        <f>SUMIF('pow podst'!C3:C63,"K",'pow podst'!N3:N63)</f>
        <v>0</v>
      </c>
      <c r="G13" s="63">
        <f>SUMIF('pow podst'!C3:C63,"K",'pow podst'!O3:O63)</f>
        <v>0</v>
      </c>
      <c r="H13" s="63">
        <f>SUMIF('pow podst'!C3:C63,"K",'pow podst'!P3:P63)</f>
        <v>5053507.33</v>
      </c>
      <c r="I13" s="63">
        <f>SUMIF('pow podst'!C3:C63,"K",'pow podst'!Q3:Q63)</f>
        <v>36237130.890000001</v>
      </c>
      <c r="J13" s="63">
        <f>SUMIF('pow podst'!C3:C63,"K",'pow podst'!R3:R63)</f>
        <v>44129114.410000004</v>
      </c>
      <c r="K13" s="63">
        <f>SUMIF('pow podst'!C3:C63,"K",'pow podst'!S3:S63)</f>
        <v>16220646.26</v>
      </c>
      <c r="L13" s="63">
        <f>SUMIF('pow podst'!C3:C63,"K",'pow podst'!T3:T63)</f>
        <v>0</v>
      </c>
      <c r="M13" s="63">
        <f>SUMIF('pow podst'!C3:C63,"K",'pow podst'!U3:U63)</f>
        <v>0</v>
      </c>
      <c r="N13" s="63">
        <f>SUMIF('pow podst'!C3:C63,"K",'pow podst'!V3:V63)</f>
        <v>0</v>
      </c>
      <c r="O13" s="67">
        <f>SUMIF('pow podst'!C3:C63,"K",'pow podst'!W3:W63)</f>
        <v>0</v>
      </c>
      <c r="P13" s="10" t="b">
        <f t="shared" ref="P13:P22" si="0">C13=(D13+E13)</f>
        <v>1</v>
      </c>
      <c r="Q13" s="26" t="b">
        <f t="shared" ref="Q13:Q19" si="1">E13=SUM(F13:O13)</f>
        <v>1</v>
      </c>
      <c r="R13" s="11"/>
      <c r="S13" s="11"/>
      <c r="T13" s="12"/>
      <c r="U13" s="12"/>
      <c r="V13" s="13"/>
      <c r="W13" s="6"/>
      <c r="X13" s="6"/>
    </row>
    <row r="14" spans="1:24" ht="39.950000000000003" customHeight="1">
      <c r="A14" s="40" t="s">
        <v>38</v>
      </c>
      <c r="B14" s="68">
        <f>COUNTIFS('pow podst'!K3:K63,"&gt;0",'pow podst'!C3:C63,"N")</f>
        <v>20</v>
      </c>
      <c r="C14" s="69">
        <f>SUMIF('pow podst'!C3:C63,"N",'pow podst'!J3:J63)</f>
        <v>84233280</v>
      </c>
      <c r="D14" s="70">
        <f>SUMIF('pow podst'!C3:C63,"N",'pow podst'!L3:L63)</f>
        <v>33663214.090000004</v>
      </c>
      <c r="E14" s="71">
        <f>SUMIF('pow podst'!C3:C63,"N",'pow podst'!K3:K63)</f>
        <v>50570065.910000011</v>
      </c>
      <c r="F14" s="72">
        <f>SUMIF('pow podst'!C3:C63,"N",'pow podst'!N3:N63)</f>
        <v>0</v>
      </c>
      <c r="G14" s="69">
        <f>SUMIF('pow podst'!C3:C63,"N",'pow podst'!O3:O63)</f>
        <v>0</v>
      </c>
      <c r="H14" s="69">
        <f>SUMIF('pow podst'!C3:C63,"N",'pow podst'!P3:P63)</f>
        <v>0</v>
      </c>
      <c r="I14" s="69">
        <f>SUMIF('pow podst'!C3:C63,"N",'pow podst'!Q3:Q63)</f>
        <v>0</v>
      </c>
      <c r="J14" s="69">
        <f>SUMIF('pow podst'!C3:C63,"N",'pow podst'!R3:R63)</f>
        <v>50570065.910000011</v>
      </c>
      <c r="K14" s="69">
        <f>SUMIF('pow podst'!C3:C63,"N",'pow podst'!S3:S63)</f>
        <v>0</v>
      </c>
      <c r="L14" s="69">
        <f>SUMIF('pow podst'!C3:C63,"N",'pow podst'!T3:T63)</f>
        <v>0</v>
      </c>
      <c r="M14" s="69">
        <f>SUMIF('pow podst'!C3:C63,"N",'pow podst'!U3:U63)</f>
        <v>0</v>
      </c>
      <c r="N14" s="69">
        <f>SUMIF('pow podst'!C3:C63,"N",'pow podst'!V3:V63)</f>
        <v>0</v>
      </c>
      <c r="O14" s="73">
        <f>SUMIF('pow podst'!C3:C63,"N",'pow podst'!W3:W63)</f>
        <v>0</v>
      </c>
      <c r="P14" s="10" t="b">
        <f t="shared" si="0"/>
        <v>1</v>
      </c>
      <c r="Q14" s="26" t="b">
        <f t="shared" si="1"/>
        <v>1</v>
      </c>
      <c r="R14" s="11"/>
      <c r="S14" s="11"/>
      <c r="T14" s="12"/>
      <c r="U14" s="12"/>
      <c r="V14" s="13"/>
      <c r="W14" s="6"/>
      <c r="X14" s="6"/>
    </row>
    <row r="15" spans="1:24" ht="39.950000000000003" customHeight="1" thickBot="1">
      <c r="A15" s="41" t="s">
        <v>39</v>
      </c>
      <c r="B15" s="74">
        <f>COUNTIFS('pow podst'!K3:K63,"&gt;0",'pow podst'!C3:C63,"W")</f>
        <v>13</v>
      </c>
      <c r="C15" s="75">
        <f>SUMIF('pow podst'!C3:C63,"W",'pow podst'!J3:J63)</f>
        <v>122110294</v>
      </c>
      <c r="D15" s="76">
        <f>SUMIF('pow podst'!C3:C63,"W",'pow podst'!L3:L63)</f>
        <v>48844117.600000001</v>
      </c>
      <c r="E15" s="77">
        <f>SUMIF('pow podst'!C3:C63,"W",'pow podst'!K3:K63)</f>
        <v>73266176.400000006</v>
      </c>
      <c r="F15" s="78">
        <f>SUMIF('pow podst'!C3:C63,"W",'pow podst'!N3:N63)</f>
        <v>0</v>
      </c>
      <c r="G15" s="75">
        <f>SUMIF('pow podst'!C3:C63,"W",'pow podst'!O3:O63)</f>
        <v>0</v>
      </c>
      <c r="H15" s="75">
        <f>SUMIF('pow podst'!C3:C63,"W",'pow podst'!P3:P63)</f>
        <v>0</v>
      </c>
      <c r="I15" s="75">
        <f>SUMIF('pow podst'!C3:C63,"W",'pow podst'!Q3:Q63)</f>
        <v>0</v>
      </c>
      <c r="J15" s="75">
        <f>SUMIF('pow podst'!C3:C63,"W",'pow podst'!R3:R63)</f>
        <v>9733810.1999999993</v>
      </c>
      <c r="K15" s="75">
        <f>SUMIF('pow podst'!C3:C63,"W",'pow podst'!S3:S63)</f>
        <v>36320566.200000003</v>
      </c>
      <c r="L15" s="75">
        <f>SUMIF('pow podst'!C3:C63,"W",'pow podst'!T3:T63)</f>
        <v>27211800</v>
      </c>
      <c r="M15" s="75">
        <f>SUMIF('pow podst'!C3:C63,"W",'pow podst'!U3:U63)</f>
        <v>0</v>
      </c>
      <c r="N15" s="75">
        <f>SUMIF('pow podst'!C3:C63,"W",'pow podst'!V3:V63)</f>
        <v>0</v>
      </c>
      <c r="O15" s="79">
        <f>SUMIF('pow podst'!C3:C63,"W",'pow podst'!W3:W63)</f>
        <v>0</v>
      </c>
      <c r="P15" s="10" t="b">
        <f t="shared" si="0"/>
        <v>1</v>
      </c>
      <c r="Q15" s="26" t="b">
        <f t="shared" si="1"/>
        <v>1</v>
      </c>
      <c r="R15" s="11"/>
      <c r="S15" s="11"/>
      <c r="T15" s="12"/>
      <c r="U15" s="12"/>
      <c r="V15" s="13"/>
      <c r="W15" s="6"/>
      <c r="X15" s="6"/>
    </row>
    <row r="16" spans="1:24" ht="39.950000000000003" customHeight="1" thickTop="1">
      <c r="A16" s="169" t="s">
        <v>40</v>
      </c>
      <c r="B16" s="57">
        <f>COUNTIF('gm podst'!L3:L105,"&gt;0")</f>
        <v>103</v>
      </c>
      <c r="C16" s="58">
        <f>SUM('gm podst'!K3:K105)</f>
        <v>267859008.43999997</v>
      </c>
      <c r="D16" s="59">
        <f>SUM('gm podst'!M3:M105)</f>
        <v>117145586.60000004</v>
      </c>
      <c r="E16" s="60">
        <f>SUM('gm podst'!L3:L105)</f>
        <v>150713421.84</v>
      </c>
      <c r="F16" s="80">
        <f>SUM('gm podst'!O3:O105)</f>
        <v>0</v>
      </c>
      <c r="G16" s="81">
        <f>SUM('gm podst'!P3:P105)</f>
        <v>553908.98</v>
      </c>
      <c r="H16" s="81">
        <f>SUM('gm podst'!Q3:Q105)</f>
        <v>5130195.4100000011</v>
      </c>
      <c r="I16" s="81">
        <f>SUM('gm podst'!R3:R105)</f>
        <v>21967948.655000001</v>
      </c>
      <c r="J16" s="81">
        <f>SUM('gm podst'!S3:S105)</f>
        <v>96712940.945000023</v>
      </c>
      <c r="K16" s="81">
        <f>SUM('gm podst'!T3:T105)</f>
        <v>24484068.98</v>
      </c>
      <c r="L16" s="81">
        <f>SUM('gm podst'!U3:U105)</f>
        <v>1864358.87</v>
      </c>
      <c r="M16" s="81">
        <f>SUM('gm podst'!V3:V105)</f>
        <v>0</v>
      </c>
      <c r="N16" s="81">
        <f>SUM('gm podst'!W3:W105)</f>
        <v>0</v>
      </c>
      <c r="O16" s="81">
        <f>SUM('gm podst'!X3:X105)</f>
        <v>0</v>
      </c>
      <c r="P16" s="10" t="b">
        <f t="shared" si="0"/>
        <v>1</v>
      </c>
      <c r="Q16" s="26" t="b">
        <f t="shared" si="1"/>
        <v>1</v>
      </c>
      <c r="R16" s="11"/>
      <c r="S16" s="11"/>
      <c r="T16" s="12"/>
      <c r="U16" s="12"/>
      <c r="V16" s="12"/>
      <c r="W16" s="12"/>
      <c r="X16" s="12"/>
    </row>
    <row r="17" spans="1:24" ht="39.950000000000003" customHeight="1">
      <c r="A17" s="39" t="s">
        <v>37</v>
      </c>
      <c r="B17" s="62">
        <f>COUNTIFS('gm podst'!L3:L105,"&gt;0",'gm podst'!C3:C105,"K")</f>
        <v>32</v>
      </c>
      <c r="C17" s="63">
        <f>SUMIF('gm podst'!C3:C105,"K",'gm podst'!K3:K105)</f>
        <v>118808639.48</v>
      </c>
      <c r="D17" s="64">
        <f>SUMIF('gm podst'!C3:C105,"K",'gm podst'!M3:M105)</f>
        <v>57576528.119999997</v>
      </c>
      <c r="E17" s="65">
        <f>SUMIF('gm podst'!C3:C105,"K",'gm podst'!L3:L105)</f>
        <v>61232111.359999992</v>
      </c>
      <c r="F17" s="66">
        <f>SUMIF('gm podst'!C3:C105,"K",'gm podst'!O3:O105)</f>
        <v>0</v>
      </c>
      <c r="G17" s="63">
        <f>SUMIF('gm podst'!C3:C105,"K",'gm podst'!P3:P105)</f>
        <v>553908.98</v>
      </c>
      <c r="H17" s="63">
        <f>SUMIF('gm podst'!C3:C105,"K",'gm podst'!Q3:Q105)</f>
        <v>5130195.4100000011</v>
      </c>
      <c r="I17" s="63">
        <f>SUMIF('gm podst'!C3:C105,"K",'gm podst'!R3:R105)</f>
        <v>21967948.655000001</v>
      </c>
      <c r="J17" s="63">
        <f>SUMIF('gm podst'!C3:C105,"K",'gm podst'!S3:S105)</f>
        <v>31252219.835000001</v>
      </c>
      <c r="K17" s="63">
        <f>SUMIF('gm podst'!C3:C105,"K",'gm podst'!T3:T105)</f>
        <v>2327838.48</v>
      </c>
      <c r="L17" s="63">
        <f>SUMIF('gm podst'!C3:C105,"K",'gm podst'!U3:U105)</f>
        <v>0</v>
      </c>
      <c r="M17" s="63">
        <f>SUMIF('gm podst'!C3:C105,"K",'gm podst'!V3:V105)</f>
        <v>0</v>
      </c>
      <c r="N17" s="63">
        <f>SUMIF('gm podst'!C3:C105,"K",'gm podst'!W3:W105)</f>
        <v>0</v>
      </c>
      <c r="O17" s="67">
        <f>SUMIF('gm podst'!C3:C105,"K",'gm podst'!X3:X105)</f>
        <v>0</v>
      </c>
      <c r="P17" s="10" t="b">
        <f t="shared" si="0"/>
        <v>1</v>
      </c>
      <c r="Q17" s="26" t="b">
        <f t="shared" si="1"/>
        <v>1</v>
      </c>
      <c r="R17" s="11"/>
      <c r="S17" s="11"/>
      <c r="T17" s="12"/>
      <c r="U17" s="12"/>
      <c r="V17" s="12"/>
      <c r="W17" s="12"/>
      <c r="X17" s="12"/>
    </row>
    <row r="18" spans="1:24" ht="39.950000000000003" customHeight="1">
      <c r="A18" s="40" t="s">
        <v>38</v>
      </c>
      <c r="B18" s="68">
        <f>COUNTIFS('gm podst'!L3:L105,"&gt;0",'gm podst'!C3:C105,"N")</f>
        <v>51</v>
      </c>
      <c r="C18" s="69">
        <f>SUMIF('gm podst'!C3:C105,"N",'gm podst'!K3:K105)</f>
        <v>89014460.799999982</v>
      </c>
      <c r="D18" s="70">
        <f>SUMIF('gm podst'!C3:C105,"N",'gm podst'!M3:M105)</f>
        <v>34734948.369999997</v>
      </c>
      <c r="E18" s="71">
        <f>SUMIF('gm podst'!C3:C105,"N",'gm podst'!L3:L105)</f>
        <v>54279512.429999992</v>
      </c>
      <c r="F18" s="72">
        <f>SUMIF('gm podst'!C3:C105,"N",'gm podst'!O3:O105)</f>
        <v>0</v>
      </c>
      <c r="G18" s="69">
        <f>SUMIF('gm podst'!C3:C105,"N",'gm podst'!P3:P105)</f>
        <v>0</v>
      </c>
      <c r="H18" s="69">
        <f>SUMIF('gm podst'!C3:C105,"N",'gm podst'!Q3:Q105)</f>
        <v>0</v>
      </c>
      <c r="I18" s="69">
        <f>SUMIF('gm podst'!C3:C105,"N",'gm podst'!R3:R105)</f>
        <v>0</v>
      </c>
      <c r="J18" s="69">
        <f>SUMIF('gm podst'!C3:C105,"N",'gm podst'!S3:S105)</f>
        <v>54279512.429999992</v>
      </c>
      <c r="K18" s="69">
        <f>SUMIF('gm podst'!C3:C105,"N",'gm podst'!T3:T105)</f>
        <v>0</v>
      </c>
      <c r="L18" s="69">
        <f>SUMIF('gm podst'!C3:C105,"N",'gm podst'!U3:U105)</f>
        <v>0</v>
      </c>
      <c r="M18" s="69">
        <f>SUMIF('gm podst'!C3:C105,"N",'gm podst'!V3:V105)</f>
        <v>0</v>
      </c>
      <c r="N18" s="69">
        <f>SUMIF('gm podst'!C3:C105,"N",'gm podst'!W3:W105)</f>
        <v>0</v>
      </c>
      <c r="O18" s="73">
        <f>SUMIF('gm podst'!C3:C105,"N",'gm podst'!X3:X105)</f>
        <v>0</v>
      </c>
      <c r="P18" s="10" t="b">
        <f t="shared" si="0"/>
        <v>1</v>
      </c>
      <c r="Q18" s="26" t="b">
        <f t="shared" si="1"/>
        <v>1</v>
      </c>
      <c r="R18" s="11"/>
      <c r="S18" s="11"/>
      <c r="T18" s="12"/>
      <c r="U18" s="12"/>
      <c r="V18" s="12"/>
      <c r="W18" s="12"/>
      <c r="X18" s="12"/>
    </row>
    <row r="19" spans="1:24" ht="39.950000000000003" customHeight="1" thickBot="1">
      <c r="A19" s="41" t="s">
        <v>39</v>
      </c>
      <c r="B19" s="74">
        <f>COUNTIFS('gm podst'!L3:L105,"&gt;0",'gm podst'!C3:C105,"W")</f>
        <v>20</v>
      </c>
      <c r="C19" s="75">
        <f>SUMIF('gm podst'!C3:C105,"W",'gm podst'!K3:K105)</f>
        <v>60035908.159999996</v>
      </c>
      <c r="D19" s="76">
        <f>SUMIF('gm podst'!C3:C105,"W",'gm podst'!M3:M105)</f>
        <v>24834110.110000003</v>
      </c>
      <c r="E19" s="77">
        <f>SUMIF('gm podst'!C3:C105,"W",'gm podst'!L3:L105)</f>
        <v>35201798.050000004</v>
      </c>
      <c r="F19" s="78">
        <f>SUMIF('gm podst'!C3:C105,"W",'gm podst'!O3:O105)</f>
        <v>0</v>
      </c>
      <c r="G19" s="75">
        <f>SUMIF('gm podst'!C3:C105,"W",'gm podst'!P3:P105)</f>
        <v>0</v>
      </c>
      <c r="H19" s="75">
        <f>SUMIF('gm podst'!C3:C105,"W",'gm podst'!Q3:Q105)</f>
        <v>0</v>
      </c>
      <c r="I19" s="75">
        <f>SUMIF('gm podst'!C3:C105,"W",'gm podst'!R3:R105)</f>
        <v>0</v>
      </c>
      <c r="J19" s="75">
        <f>SUMIF('gm podst'!C3:C105,"W",'gm podst'!S3:S105)</f>
        <v>11181208.68</v>
      </c>
      <c r="K19" s="75">
        <f>SUMIF('gm podst'!C3:C105,"W",'gm podst'!T3:T105)</f>
        <v>22156230.5</v>
      </c>
      <c r="L19" s="75">
        <f>SUMIF('gm podst'!C3:C105,"W",'gm podst'!U3:U105)</f>
        <v>1864358.87</v>
      </c>
      <c r="M19" s="75">
        <f>SUMIF('gm podst'!C3:C105,"W",'gm podst'!V3:V105)</f>
        <v>0</v>
      </c>
      <c r="N19" s="75">
        <f>SUMIF('gm podst'!C3:C105,"W",'gm podst'!W3:W105)</f>
        <v>0</v>
      </c>
      <c r="O19" s="79">
        <f>SUMIF('gm podst'!C3:C105,"W",'gm podst'!X3:X105)</f>
        <v>0</v>
      </c>
      <c r="P19" s="10" t="b">
        <f t="shared" si="0"/>
        <v>1</v>
      </c>
      <c r="Q19" s="26" t="b">
        <f t="shared" si="1"/>
        <v>1</v>
      </c>
      <c r="R19" s="11"/>
      <c r="S19" s="11"/>
      <c r="T19" s="12"/>
      <c r="U19" s="12"/>
      <c r="V19" s="12"/>
      <c r="W19" s="12"/>
      <c r="X19" s="12"/>
    </row>
    <row r="20" spans="1:24" s="148" customFormat="1" ht="39.950000000000003" customHeight="1" thickTop="1">
      <c r="A20" s="141" t="s">
        <v>41</v>
      </c>
      <c r="B20" s="142">
        <f>B12+B16</f>
        <v>164</v>
      </c>
      <c r="C20" s="143">
        <f>C12+C16</f>
        <v>675889396.16000009</v>
      </c>
      <c r="D20" s="144">
        <f t="shared" ref="C20:O22" si="2">D12+D16</f>
        <v>299699333.12000006</v>
      </c>
      <c r="E20" s="60">
        <f t="shared" si="2"/>
        <v>376190063.03999996</v>
      </c>
      <c r="F20" s="145">
        <f t="shared" si="2"/>
        <v>0</v>
      </c>
      <c r="G20" s="143">
        <f t="shared" si="2"/>
        <v>553908.98</v>
      </c>
      <c r="H20" s="143">
        <f>H12+H16</f>
        <v>10183702.740000002</v>
      </c>
      <c r="I20" s="143">
        <f t="shared" si="2"/>
        <v>58205079.545000002</v>
      </c>
      <c r="J20" s="143">
        <f t="shared" si="2"/>
        <v>201145931.46500003</v>
      </c>
      <c r="K20" s="143">
        <f t="shared" si="2"/>
        <v>77025281.439999998</v>
      </c>
      <c r="L20" s="143">
        <f t="shared" si="2"/>
        <v>29076158.870000001</v>
      </c>
      <c r="M20" s="143">
        <f t="shared" si="2"/>
        <v>0</v>
      </c>
      <c r="N20" s="143">
        <f t="shared" si="2"/>
        <v>0</v>
      </c>
      <c r="O20" s="146">
        <f t="shared" si="2"/>
        <v>0</v>
      </c>
      <c r="P20" s="147" t="b">
        <f t="shared" si="0"/>
        <v>1</v>
      </c>
      <c r="Q20" s="26" t="b">
        <f>E20=SUM(F20:O20)</f>
        <v>1</v>
      </c>
      <c r="R20" s="14"/>
      <c r="S20" s="14"/>
      <c r="T20" s="15"/>
      <c r="U20" s="15"/>
      <c r="V20" s="15"/>
      <c r="W20" s="15"/>
      <c r="X20" s="15"/>
    </row>
    <row r="21" spans="1:24" s="16" customFormat="1" ht="39.950000000000003" customHeight="1">
      <c r="A21" s="42" t="s">
        <v>37</v>
      </c>
      <c r="B21" s="82">
        <f>B13+B17</f>
        <v>60</v>
      </c>
      <c r="C21" s="83">
        <f t="shared" si="2"/>
        <v>320495453.19999999</v>
      </c>
      <c r="D21" s="84">
        <f t="shared" si="2"/>
        <v>157622942.95000002</v>
      </c>
      <c r="E21" s="65">
        <f t="shared" si="2"/>
        <v>162872510.25</v>
      </c>
      <c r="F21" s="85">
        <f t="shared" si="2"/>
        <v>0</v>
      </c>
      <c r="G21" s="83">
        <f t="shared" si="2"/>
        <v>553908.98</v>
      </c>
      <c r="H21" s="83">
        <f t="shared" si="2"/>
        <v>10183702.740000002</v>
      </c>
      <c r="I21" s="83">
        <f t="shared" si="2"/>
        <v>58205079.545000002</v>
      </c>
      <c r="J21" s="83">
        <f t="shared" si="2"/>
        <v>75381334.245000005</v>
      </c>
      <c r="K21" s="83">
        <f t="shared" si="2"/>
        <v>18548484.739999998</v>
      </c>
      <c r="L21" s="83">
        <f t="shared" si="2"/>
        <v>0</v>
      </c>
      <c r="M21" s="83">
        <f t="shared" si="2"/>
        <v>0</v>
      </c>
      <c r="N21" s="83">
        <f t="shared" si="2"/>
        <v>0</v>
      </c>
      <c r="O21" s="86">
        <f t="shared" si="2"/>
        <v>0</v>
      </c>
      <c r="P21" s="10" t="b">
        <f t="shared" si="0"/>
        <v>1</v>
      </c>
      <c r="Q21" s="26" t="b">
        <f>E21=SUM(F21:O21)</f>
        <v>1</v>
      </c>
      <c r="R21" s="14"/>
      <c r="S21" s="14"/>
      <c r="T21" s="15"/>
      <c r="U21" s="15"/>
      <c r="V21" s="15"/>
      <c r="W21" s="15"/>
      <c r="X21" s="15"/>
    </row>
    <row r="22" spans="1:24" s="16" customFormat="1" ht="39.950000000000003" customHeight="1">
      <c r="A22" s="43" t="s">
        <v>38</v>
      </c>
      <c r="B22" s="87">
        <f>B14+B18</f>
        <v>71</v>
      </c>
      <c r="C22" s="88">
        <f t="shared" si="2"/>
        <v>173247740.79999998</v>
      </c>
      <c r="D22" s="89">
        <f t="shared" si="2"/>
        <v>68398162.460000008</v>
      </c>
      <c r="E22" s="71">
        <f t="shared" si="2"/>
        <v>104849578.34</v>
      </c>
      <c r="F22" s="90">
        <f t="shared" si="2"/>
        <v>0</v>
      </c>
      <c r="G22" s="88">
        <f t="shared" si="2"/>
        <v>0</v>
      </c>
      <c r="H22" s="88">
        <f t="shared" si="2"/>
        <v>0</v>
      </c>
      <c r="I22" s="88">
        <f t="shared" si="2"/>
        <v>0</v>
      </c>
      <c r="J22" s="88">
        <f t="shared" si="2"/>
        <v>104849578.34</v>
      </c>
      <c r="K22" s="88">
        <f t="shared" si="2"/>
        <v>0</v>
      </c>
      <c r="L22" s="88">
        <f t="shared" si="2"/>
        <v>0</v>
      </c>
      <c r="M22" s="88">
        <f t="shared" si="2"/>
        <v>0</v>
      </c>
      <c r="N22" s="88">
        <f t="shared" si="2"/>
        <v>0</v>
      </c>
      <c r="O22" s="91">
        <f t="shared" si="2"/>
        <v>0</v>
      </c>
      <c r="P22" s="10" t="b">
        <f t="shared" si="0"/>
        <v>1</v>
      </c>
      <c r="Q22" s="26" t="b">
        <f>E22=SUM(F22:O22)</f>
        <v>1</v>
      </c>
      <c r="R22" s="14"/>
      <c r="S22" s="14"/>
      <c r="T22" s="15"/>
      <c r="U22" s="15"/>
      <c r="V22" s="15"/>
      <c r="W22" s="15"/>
      <c r="X22" s="15"/>
    </row>
    <row r="23" spans="1:24" s="16" customFormat="1" ht="39.950000000000003" customHeight="1" thickBot="1">
      <c r="A23" s="44" t="s">
        <v>39</v>
      </c>
      <c r="B23" s="92">
        <f>B15+B19</f>
        <v>33</v>
      </c>
      <c r="C23" s="93">
        <f t="shared" ref="C23:O23" si="3">C15+C19</f>
        <v>182146202.16</v>
      </c>
      <c r="D23" s="94">
        <f t="shared" si="3"/>
        <v>73678227.710000008</v>
      </c>
      <c r="E23" s="77">
        <f t="shared" si="3"/>
        <v>108467974.45000002</v>
      </c>
      <c r="F23" s="95">
        <f t="shared" si="3"/>
        <v>0</v>
      </c>
      <c r="G23" s="93">
        <f t="shared" si="3"/>
        <v>0</v>
      </c>
      <c r="H23" s="93">
        <f t="shared" si="3"/>
        <v>0</v>
      </c>
      <c r="I23" s="93">
        <f t="shared" si="3"/>
        <v>0</v>
      </c>
      <c r="J23" s="93">
        <f t="shared" si="3"/>
        <v>20915018.879999999</v>
      </c>
      <c r="K23" s="93">
        <f t="shared" si="3"/>
        <v>58476796.700000003</v>
      </c>
      <c r="L23" s="93">
        <f t="shared" si="3"/>
        <v>29076158.870000001</v>
      </c>
      <c r="M23" s="93">
        <f t="shared" si="3"/>
        <v>0</v>
      </c>
      <c r="N23" s="93">
        <f t="shared" si="3"/>
        <v>0</v>
      </c>
      <c r="O23" s="96">
        <f t="shared" si="3"/>
        <v>0</v>
      </c>
      <c r="P23" s="10" t="b">
        <f>C23=(D23+E23)</f>
        <v>1</v>
      </c>
      <c r="Q23" s="26" t="b">
        <f>E23=SUM(F23:O23)</f>
        <v>1</v>
      </c>
      <c r="R23" s="14"/>
      <c r="S23" s="14"/>
      <c r="T23" s="15"/>
      <c r="U23" s="15"/>
      <c r="V23" s="15"/>
      <c r="W23" s="15"/>
      <c r="X23" s="15"/>
    </row>
    <row r="24" spans="1:24" ht="39.950000000000003" customHeight="1" thickTop="1">
      <c r="A24" s="38" t="s">
        <v>2</v>
      </c>
      <c r="B24" s="57">
        <f>COUNTIF('pow rez'!K3:K36,"&gt;0")</f>
        <v>34</v>
      </c>
      <c r="C24" s="58">
        <f>SUM('pow rez'!J3:J36)</f>
        <v>153882996.34999999</v>
      </c>
      <c r="D24" s="59">
        <f>SUM('pow rez'!L3:L36)</f>
        <v>61447315.119999997</v>
      </c>
      <c r="E24" s="60">
        <f>SUM('pow rez'!K3:K36)</f>
        <v>92435681.230000004</v>
      </c>
      <c r="F24" s="61">
        <f>SUM('pow rez'!N3:N36)</f>
        <v>0</v>
      </c>
      <c r="G24" s="61">
        <f>SUM('pow rez'!O3:O36)</f>
        <v>0</v>
      </c>
      <c r="H24" s="61">
        <f>SUM('pow rez'!P3:P36)</f>
        <v>0</v>
      </c>
      <c r="I24" s="61">
        <f>SUM('pow rez'!Q3:Q36)</f>
        <v>0</v>
      </c>
      <c r="J24" s="61">
        <f>SUM('pow rez'!R3:R36)</f>
        <v>72187859.230000004</v>
      </c>
      <c r="K24" s="61">
        <f>SUM('pow rez'!S3:S36)</f>
        <v>18594822</v>
      </c>
      <c r="L24" s="61">
        <f>SUM('pow rez'!T3:T36)</f>
        <v>1653000</v>
      </c>
      <c r="M24" s="61">
        <f>SUM('pow rez'!U3:U36)</f>
        <v>0</v>
      </c>
      <c r="N24" s="61">
        <f>SUM('pow rez'!V3:V36)</f>
        <v>0</v>
      </c>
      <c r="O24" s="61">
        <f>SUM('pow rez'!W3:W36)</f>
        <v>0</v>
      </c>
      <c r="P24" s="10" t="b">
        <f>C24=(D24+E24)</f>
        <v>1</v>
      </c>
      <c r="Q24" s="26" t="b">
        <f>E24=SUM(F24:O24)</f>
        <v>1</v>
      </c>
      <c r="R24" s="11"/>
      <c r="S24" s="11"/>
      <c r="T24" s="12"/>
      <c r="U24" s="12"/>
      <c r="V24" s="12"/>
      <c r="W24" s="12"/>
      <c r="X24" s="12"/>
    </row>
    <row r="25" spans="1:24" ht="39.950000000000003" customHeight="1">
      <c r="A25" s="40" t="s">
        <v>38</v>
      </c>
      <c r="B25" s="68">
        <f>COUNTIFS('pow rez'!K3:K36,"&gt;0",'pow rez'!C3:C36,"N")</f>
        <v>24</v>
      </c>
      <c r="C25" s="69">
        <f>SUMIF('pow rez'!C3:C36,"N",'pow rez'!J3:J36)</f>
        <v>101834374.21000001</v>
      </c>
      <c r="D25" s="70">
        <f>SUMIF('pow rez'!C3:C36,"N",'pow rez'!L3:L36)</f>
        <v>40627866.259999998</v>
      </c>
      <c r="E25" s="71">
        <f>SUMIF('pow rez'!C3:C36,"N",'pow rez'!K3:K36)</f>
        <v>61206507.949999996</v>
      </c>
      <c r="F25" s="72">
        <f>SUMIF('pow rez'!$C$3:$C$36,"N",'pow rez'!N3:N36)</f>
        <v>0</v>
      </c>
      <c r="G25" s="72">
        <f>SUMIF('pow rez'!$C$3:$C$36,"N",'pow rez'!O3:O36)</f>
        <v>0</v>
      </c>
      <c r="H25" s="72">
        <f>SUMIF('pow rez'!$C$3:$C$36,"N",'pow rez'!P3:P36)</f>
        <v>0</v>
      </c>
      <c r="I25" s="72">
        <f>SUMIF('pow rez'!$C$3:$C$36,"N",'pow rez'!Q3:Q36)</f>
        <v>0</v>
      </c>
      <c r="J25" s="72">
        <f>SUMIF('pow rez'!$C$3:$C$36,"N",'pow rez'!R3:R36)</f>
        <v>61206507.949999996</v>
      </c>
      <c r="K25" s="72">
        <f>SUMIF('pow rez'!$C$3:$C$36,"N",'pow rez'!S3:S36)</f>
        <v>0</v>
      </c>
      <c r="L25" s="72">
        <f>SUMIF('pow rez'!$C$3:$C$36,"N",'pow rez'!T3:T36)</f>
        <v>0</v>
      </c>
      <c r="M25" s="72">
        <f>SUMIF('pow rez'!$C$3:$C$36,"N",'pow rez'!U3:U36)</f>
        <v>0</v>
      </c>
      <c r="N25" s="72">
        <f>SUMIF('pow rez'!$C$3:$C$36,"N",'pow rez'!V3:V36)</f>
        <v>0</v>
      </c>
      <c r="O25" s="72">
        <f>SUMIF('pow rez'!$C$3:$C$36,"N",'pow rez'!W3:W36)</f>
        <v>0</v>
      </c>
      <c r="P25" s="10" t="b">
        <f t="shared" ref="P25:P35" si="4">C25=(D25+E25)</f>
        <v>1</v>
      </c>
      <c r="Q25" s="26" t="b">
        <f t="shared" ref="Q25:Q35" si="5">E25=SUM(F25:O25)</f>
        <v>1</v>
      </c>
      <c r="R25" s="11"/>
      <c r="S25" s="11"/>
      <c r="T25" s="12"/>
      <c r="U25" s="12"/>
      <c r="V25" s="12"/>
      <c r="W25" s="12"/>
      <c r="X25" s="12"/>
    </row>
    <row r="26" spans="1:24" ht="39.950000000000003" customHeight="1" thickBot="1">
      <c r="A26" s="41" t="s">
        <v>39</v>
      </c>
      <c r="B26" s="74">
        <f>COUNTIFS('pow rez'!K3:K36,"&gt;0",'pow rez'!C3:C36,"W")</f>
        <v>10</v>
      </c>
      <c r="C26" s="75">
        <f>SUMIF('pow rez'!C3:C36,"W",'pow rez'!J3:J36)</f>
        <v>52048622.140000001</v>
      </c>
      <c r="D26" s="76">
        <f>SUMIF('pow rez'!C3:C36,"W",'pow rez'!L3:L36)</f>
        <v>20819448.859999999</v>
      </c>
      <c r="E26" s="77">
        <f>SUMIF('pow rez'!C3:C36,"W",'pow rez'!K3:K36)</f>
        <v>31229173.280000001</v>
      </c>
      <c r="F26" s="78">
        <f>SUMIF('pow rez'!$C$3:$C$36,"W",'pow rez'!N3:N36)</f>
        <v>0</v>
      </c>
      <c r="G26" s="78">
        <f>SUMIF('pow rez'!$C$3:$C$36,"W",'pow rez'!O3:O36)</f>
        <v>0</v>
      </c>
      <c r="H26" s="78">
        <f>SUMIF('pow rez'!$C$3:$C$36,"W",'pow rez'!P3:P36)</f>
        <v>0</v>
      </c>
      <c r="I26" s="78">
        <f>SUMIF('pow rez'!$C$3:$C$36,"W",'pow rez'!Q3:Q36)</f>
        <v>0</v>
      </c>
      <c r="J26" s="78">
        <f>SUMIF('pow rez'!$C$3:$C$36,"W",'pow rez'!R3:R36)</f>
        <v>10981351.280000001</v>
      </c>
      <c r="K26" s="78">
        <f>SUMIF('pow rez'!$C$3:$C$36,"W",'pow rez'!S3:S36)</f>
        <v>18594822</v>
      </c>
      <c r="L26" s="78">
        <f>SUMIF('pow rez'!$C$3:$C$36,"W",'pow rez'!T3:T36)</f>
        <v>1653000</v>
      </c>
      <c r="M26" s="78">
        <f>SUMIF('pow rez'!$C$3:$C$36,"W",'pow rez'!U3:U36)</f>
        <v>0</v>
      </c>
      <c r="N26" s="78">
        <f>SUMIF('pow rez'!$C$3:$C$36,"W",'pow rez'!V3:V36)</f>
        <v>0</v>
      </c>
      <c r="O26" s="78">
        <f>SUMIF('pow rez'!$C$3:$C$36,"W",'pow rez'!W3:W36)</f>
        <v>0</v>
      </c>
      <c r="P26" s="10" t="b">
        <f t="shared" si="4"/>
        <v>1</v>
      </c>
      <c r="Q26" s="26" t="b">
        <f t="shared" si="5"/>
        <v>1</v>
      </c>
      <c r="R26" s="11"/>
      <c r="S26" s="11"/>
      <c r="T26" s="12"/>
      <c r="U26" s="12"/>
      <c r="V26" s="12"/>
      <c r="W26" s="12"/>
      <c r="X26" s="12"/>
    </row>
    <row r="27" spans="1:24" ht="39.950000000000003" customHeight="1" thickTop="1">
      <c r="A27" s="38" t="s">
        <v>3</v>
      </c>
      <c r="B27" s="57">
        <f>COUNTIF('gm rez'!L3:L54,"&gt;0")</f>
        <v>52</v>
      </c>
      <c r="C27" s="58">
        <f>SUM('gm rez'!K3:K54)</f>
        <v>202954046.27000004</v>
      </c>
      <c r="D27" s="59">
        <f>SUM('gm rez'!M3:M54)</f>
        <v>80155915.450000003</v>
      </c>
      <c r="E27" s="60">
        <f>SUM('gm rez'!L3:L54)</f>
        <v>122798130.81999998</v>
      </c>
      <c r="F27" s="61">
        <f>SUM('gm rez'!O3:O54)</f>
        <v>0</v>
      </c>
      <c r="G27" s="58">
        <f>SUM('gm rez'!P3:P54)</f>
        <v>0</v>
      </c>
      <c r="H27" s="58">
        <f>SUM('gm rez'!Q3:Q54)</f>
        <v>0</v>
      </c>
      <c r="I27" s="58">
        <f>SUM('gm rez'!R3:R54)</f>
        <v>0</v>
      </c>
      <c r="J27" s="58">
        <f>SUM('gm rez'!S3:S54)</f>
        <v>74275984.750000015</v>
      </c>
      <c r="K27" s="58">
        <f>SUM('gm rez'!T3:T54)</f>
        <v>38433741.969999999</v>
      </c>
      <c r="L27" s="58">
        <f>SUM('gm rez'!U3:U54)</f>
        <v>10088404.1</v>
      </c>
      <c r="M27" s="58">
        <f>SUM('gm rez'!V3:V54)</f>
        <v>0</v>
      </c>
      <c r="N27" s="58">
        <f>SUM('gm rez'!W3:W54)</f>
        <v>0</v>
      </c>
      <c r="O27" s="97">
        <f>SUM('gm rez'!X3:X54)</f>
        <v>0</v>
      </c>
      <c r="P27" s="10" t="b">
        <f t="shared" si="4"/>
        <v>1</v>
      </c>
      <c r="Q27" s="26" t="b">
        <f t="shared" si="5"/>
        <v>1</v>
      </c>
      <c r="R27" s="17"/>
      <c r="S27" s="17"/>
      <c r="T27" s="18"/>
      <c r="U27" s="18"/>
      <c r="V27" s="13"/>
      <c r="W27" s="6"/>
      <c r="X27" s="6"/>
    </row>
    <row r="28" spans="1:24" ht="39.950000000000003" customHeight="1">
      <c r="A28" s="40" t="s">
        <v>38</v>
      </c>
      <c r="B28" s="68">
        <f>COUNTIFS('gm rez'!L3:L54,"&gt;0",'gm rez'!C3:C54,"N")</f>
        <v>32</v>
      </c>
      <c r="C28" s="69">
        <f>SUMIF('gm rez'!C3:C54,"N",'gm rez'!K3:K54)</f>
        <v>97513777.200000003</v>
      </c>
      <c r="D28" s="70">
        <f>SUMIF('gm rez'!C3:C54,"N",'gm rez'!M3:M54)</f>
        <v>37979807.800000004</v>
      </c>
      <c r="E28" s="71">
        <f>SUMIF('gm rez'!C3:C54,"N",'gm rez'!L3:L54)</f>
        <v>59533969.399999999</v>
      </c>
      <c r="F28" s="72">
        <f>SUMIF('gm rez'!C3:C54,"N",'gm rez'!O3:O54)</f>
        <v>0</v>
      </c>
      <c r="G28" s="69">
        <f>SUMIF('gm rez'!C3:C54,"N",'gm rez'!P3:P54)</f>
        <v>0</v>
      </c>
      <c r="H28" s="69">
        <f>SUMIF('gm rez'!C3:C54,"N",'gm rez'!Q3:Q54)</f>
        <v>0</v>
      </c>
      <c r="I28" s="69">
        <f>SUMIF('gm rez'!C3:C54,"N",'gm rez'!R3:R54)</f>
        <v>0</v>
      </c>
      <c r="J28" s="69">
        <f>SUMIF('gm rez'!C3:C54,"N",'gm rez'!S3:S54)</f>
        <v>59533969.399999999</v>
      </c>
      <c r="K28" s="69">
        <f>SUMIF('gm rez'!C3:C54,"N",'gm rez'!T3:T54)</f>
        <v>0</v>
      </c>
      <c r="L28" s="69">
        <f>SUMIF('gm rez'!C3:C54,"N",'gm rez'!U3:U54)</f>
        <v>0</v>
      </c>
      <c r="M28" s="69">
        <f>SUMIF('gm rez'!C3:C54,"N",'gm rez'!V3:V54)</f>
        <v>0</v>
      </c>
      <c r="N28" s="69">
        <f>SUMIF('gm rez'!C3:C54,"N",'gm rez'!W3:W54)</f>
        <v>0</v>
      </c>
      <c r="O28" s="73">
        <f>SUMIF('gm rez'!C3:C54,"N",'gm rez'!X3:X54)</f>
        <v>0</v>
      </c>
      <c r="P28" s="10" t="b">
        <f t="shared" si="4"/>
        <v>1</v>
      </c>
      <c r="Q28" s="26" t="b">
        <f t="shared" si="5"/>
        <v>1</v>
      </c>
      <c r="R28" s="17"/>
      <c r="S28" s="17"/>
      <c r="T28" s="18"/>
      <c r="U28" s="18"/>
      <c r="V28" s="13"/>
      <c r="W28" s="6"/>
      <c r="X28" s="6"/>
    </row>
    <row r="29" spans="1:24" ht="39.950000000000003" customHeight="1" thickBot="1">
      <c r="A29" s="41" t="s">
        <v>39</v>
      </c>
      <c r="B29" s="74">
        <f>COUNTIFS('gm rez'!L3:L54,"&gt;0",'gm rez'!C3:C54,"W")</f>
        <v>20</v>
      </c>
      <c r="C29" s="75">
        <f>SUMIF('gm rez'!C3:C54,"W",'gm rez'!K3:K54)</f>
        <v>105440269.07000001</v>
      </c>
      <c r="D29" s="76">
        <f>SUMIF('gm rez'!C3:C54,"W",'gm rez'!M3:M54)</f>
        <v>42176107.649999999</v>
      </c>
      <c r="E29" s="77">
        <f>SUMIF('gm rez'!C3:C54,"W",'gm rez'!L3:L54)</f>
        <v>63264161.420000002</v>
      </c>
      <c r="F29" s="78">
        <f>SUMIF('gm rez'!C3:C54,"W",'gm rez'!O3:O54)</f>
        <v>0</v>
      </c>
      <c r="G29" s="75">
        <f>SUMIF('gm rez'!C3:C54,"W",'gm rez'!P3:P54)</f>
        <v>0</v>
      </c>
      <c r="H29" s="75">
        <f>SUMIF('gm rez'!C3:C54,"W",'gm rez'!Q3:Q54)</f>
        <v>0</v>
      </c>
      <c r="I29" s="75">
        <f>SUMIF('gm rez'!C3:C54,"W",'gm rez'!R3:R54)</f>
        <v>0</v>
      </c>
      <c r="J29" s="75">
        <f>SUMIF('gm rez'!C3:C54,"W",'gm rez'!S3:S54)</f>
        <v>14742015.349999998</v>
      </c>
      <c r="K29" s="75">
        <f>SUMIF('gm rez'!C3:C54,"W",'gm rez'!T3:T54)</f>
        <v>38433741.969999999</v>
      </c>
      <c r="L29" s="75">
        <f>SUMIF('gm rez'!C3:C54,"W",'gm rez'!U3:U54)</f>
        <v>10088404.1</v>
      </c>
      <c r="M29" s="75">
        <f>SUMIF('gm rez'!C3:C54,"W",'gm rez'!V3:V54)</f>
        <v>0</v>
      </c>
      <c r="N29" s="75">
        <f>SUMIF('gm rez'!C3:C54,"W",'gm rez'!W3:W54)</f>
        <v>0</v>
      </c>
      <c r="O29" s="79">
        <f>SUMIF('gm rez'!C3:C54,"W",'gm rez'!X3:X54)</f>
        <v>0</v>
      </c>
      <c r="P29" s="10" t="b">
        <f t="shared" si="4"/>
        <v>1</v>
      </c>
      <c r="Q29" s="26" t="b">
        <f t="shared" si="5"/>
        <v>1</v>
      </c>
      <c r="R29" s="17"/>
      <c r="S29" s="17"/>
      <c r="T29" s="18"/>
      <c r="U29" s="18"/>
      <c r="V29" s="13"/>
      <c r="W29" s="6"/>
      <c r="X29" s="6"/>
    </row>
    <row r="30" spans="1:24" ht="39.950000000000003" customHeight="1" thickTop="1">
      <c r="A30" s="45" t="s">
        <v>23</v>
      </c>
      <c r="B30" s="98">
        <f>B24+B27</f>
        <v>86</v>
      </c>
      <c r="C30" s="99">
        <f t="shared" ref="C30:O30" si="6">C24+C27</f>
        <v>356837042.62</v>
      </c>
      <c r="D30" s="100">
        <f t="shared" si="6"/>
        <v>141603230.56999999</v>
      </c>
      <c r="E30" s="101">
        <f t="shared" si="6"/>
        <v>215233812.04999998</v>
      </c>
      <c r="F30" s="102">
        <f t="shared" si="6"/>
        <v>0</v>
      </c>
      <c r="G30" s="99">
        <f t="shared" si="6"/>
        <v>0</v>
      </c>
      <c r="H30" s="99">
        <f t="shared" si="6"/>
        <v>0</v>
      </c>
      <c r="I30" s="99">
        <f t="shared" si="6"/>
        <v>0</v>
      </c>
      <c r="J30" s="99">
        <f t="shared" si="6"/>
        <v>146463843.98000002</v>
      </c>
      <c r="K30" s="99">
        <f t="shared" si="6"/>
        <v>57028563.969999999</v>
      </c>
      <c r="L30" s="99">
        <f t="shared" si="6"/>
        <v>11741404.1</v>
      </c>
      <c r="M30" s="99">
        <f t="shared" si="6"/>
        <v>0</v>
      </c>
      <c r="N30" s="99">
        <f t="shared" si="6"/>
        <v>0</v>
      </c>
      <c r="O30" s="103">
        <f t="shared" si="6"/>
        <v>0</v>
      </c>
      <c r="P30" s="10" t="b">
        <f t="shared" si="4"/>
        <v>1</v>
      </c>
      <c r="Q30" s="26" t="b">
        <f t="shared" si="5"/>
        <v>1</v>
      </c>
      <c r="R30" s="19"/>
      <c r="S30" s="19"/>
      <c r="T30" s="2"/>
      <c r="U30" s="2"/>
    </row>
    <row r="31" spans="1:24" ht="39.950000000000003" customHeight="1">
      <c r="A31" s="34" t="s">
        <v>38</v>
      </c>
      <c r="B31" s="104">
        <f t="shared" ref="B31:O31" si="7">B25+B28</f>
        <v>56</v>
      </c>
      <c r="C31" s="105">
        <f t="shared" si="7"/>
        <v>199348151.41000003</v>
      </c>
      <c r="D31" s="106">
        <f t="shared" si="7"/>
        <v>78607674.060000002</v>
      </c>
      <c r="E31" s="71">
        <f t="shared" si="7"/>
        <v>120740477.34999999</v>
      </c>
      <c r="F31" s="107">
        <f t="shared" si="7"/>
        <v>0</v>
      </c>
      <c r="G31" s="105">
        <f t="shared" si="7"/>
        <v>0</v>
      </c>
      <c r="H31" s="105">
        <f t="shared" si="7"/>
        <v>0</v>
      </c>
      <c r="I31" s="105">
        <f t="shared" si="7"/>
        <v>0</v>
      </c>
      <c r="J31" s="105">
        <f t="shared" si="7"/>
        <v>120740477.34999999</v>
      </c>
      <c r="K31" s="105">
        <f t="shared" si="7"/>
        <v>0</v>
      </c>
      <c r="L31" s="105">
        <f t="shared" si="7"/>
        <v>0</v>
      </c>
      <c r="M31" s="105">
        <f t="shared" si="7"/>
        <v>0</v>
      </c>
      <c r="N31" s="105">
        <f t="shared" si="7"/>
        <v>0</v>
      </c>
      <c r="O31" s="108">
        <f t="shared" si="7"/>
        <v>0</v>
      </c>
      <c r="P31" s="10" t="b">
        <f t="shared" si="4"/>
        <v>1</v>
      </c>
      <c r="Q31" s="26" t="b">
        <f t="shared" si="5"/>
        <v>1</v>
      </c>
      <c r="R31" s="19"/>
      <c r="S31" s="19"/>
      <c r="T31" s="2"/>
      <c r="U31" s="2"/>
    </row>
    <row r="32" spans="1:24" ht="39.950000000000003" customHeight="1" thickBot="1">
      <c r="A32" s="46" t="s">
        <v>39</v>
      </c>
      <c r="B32" s="109">
        <f t="shared" ref="B32:O32" si="8">B26+B29</f>
        <v>30</v>
      </c>
      <c r="C32" s="110">
        <f t="shared" si="8"/>
        <v>157488891.21000001</v>
      </c>
      <c r="D32" s="111">
        <f t="shared" si="8"/>
        <v>62995556.509999998</v>
      </c>
      <c r="E32" s="112">
        <f t="shared" si="8"/>
        <v>94493334.700000003</v>
      </c>
      <c r="F32" s="113">
        <f t="shared" si="8"/>
        <v>0</v>
      </c>
      <c r="G32" s="110">
        <f t="shared" si="8"/>
        <v>0</v>
      </c>
      <c r="H32" s="110">
        <f t="shared" si="8"/>
        <v>0</v>
      </c>
      <c r="I32" s="110">
        <f t="shared" si="8"/>
        <v>0</v>
      </c>
      <c r="J32" s="110">
        <f t="shared" si="8"/>
        <v>25723366.629999999</v>
      </c>
      <c r="K32" s="110">
        <f t="shared" si="8"/>
        <v>57028563.969999999</v>
      </c>
      <c r="L32" s="110">
        <f t="shared" si="8"/>
        <v>11741404.1</v>
      </c>
      <c r="M32" s="110">
        <f t="shared" si="8"/>
        <v>0</v>
      </c>
      <c r="N32" s="110">
        <f t="shared" si="8"/>
        <v>0</v>
      </c>
      <c r="O32" s="114">
        <f t="shared" si="8"/>
        <v>0</v>
      </c>
      <c r="P32" s="10" t="b">
        <f t="shared" si="4"/>
        <v>1</v>
      </c>
      <c r="Q32" s="26" t="b">
        <f t="shared" si="5"/>
        <v>1</v>
      </c>
      <c r="R32" s="19"/>
      <c r="S32" s="19"/>
      <c r="T32" s="2"/>
      <c r="U32" s="2"/>
    </row>
    <row r="33" spans="1:21" ht="39.950000000000003" customHeight="1" thickTop="1">
      <c r="A33" s="47" t="s">
        <v>34</v>
      </c>
      <c r="B33" s="115">
        <f>B20+B30</f>
        <v>250</v>
      </c>
      <c r="C33" s="116">
        <f t="shared" ref="C33:O33" si="9">C20+C30</f>
        <v>1032726438.7800001</v>
      </c>
      <c r="D33" s="117">
        <f t="shared" si="9"/>
        <v>441302563.69000006</v>
      </c>
      <c r="E33" s="118">
        <f t="shared" si="9"/>
        <v>591423875.08999991</v>
      </c>
      <c r="F33" s="119">
        <f t="shared" si="9"/>
        <v>0</v>
      </c>
      <c r="G33" s="116">
        <f t="shared" si="9"/>
        <v>553908.98</v>
      </c>
      <c r="H33" s="116">
        <f t="shared" si="9"/>
        <v>10183702.740000002</v>
      </c>
      <c r="I33" s="116">
        <f t="shared" si="9"/>
        <v>58205079.545000002</v>
      </c>
      <c r="J33" s="116">
        <f t="shared" si="9"/>
        <v>347609775.44500005</v>
      </c>
      <c r="K33" s="116">
        <f t="shared" si="9"/>
        <v>134053845.41</v>
      </c>
      <c r="L33" s="116">
        <f t="shared" si="9"/>
        <v>40817562.969999999</v>
      </c>
      <c r="M33" s="116">
        <f t="shared" si="9"/>
        <v>0</v>
      </c>
      <c r="N33" s="116">
        <f t="shared" si="9"/>
        <v>0</v>
      </c>
      <c r="O33" s="120">
        <f t="shared" si="9"/>
        <v>0</v>
      </c>
      <c r="P33" s="10" t="b">
        <f t="shared" si="4"/>
        <v>1</v>
      </c>
      <c r="Q33" s="26" t="b">
        <f t="shared" si="5"/>
        <v>1</v>
      </c>
      <c r="R33" s="19"/>
      <c r="S33" s="19"/>
      <c r="T33" s="2"/>
      <c r="U33" s="2"/>
    </row>
    <row r="34" spans="1:21" ht="39.950000000000003" customHeight="1">
      <c r="A34" s="48" t="s">
        <v>38</v>
      </c>
      <c r="B34" s="121">
        <f>B22+B31</f>
        <v>127</v>
      </c>
      <c r="C34" s="122">
        <f t="shared" ref="C34:O34" si="10">C22+C31</f>
        <v>372595892.21000004</v>
      </c>
      <c r="D34" s="123">
        <f t="shared" si="10"/>
        <v>147005836.52000001</v>
      </c>
      <c r="E34" s="124">
        <f t="shared" si="10"/>
        <v>225590055.69</v>
      </c>
      <c r="F34" s="125">
        <f t="shared" si="10"/>
        <v>0</v>
      </c>
      <c r="G34" s="122">
        <f t="shared" si="10"/>
        <v>0</v>
      </c>
      <c r="H34" s="122">
        <f t="shared" si="10"/>
        <v>0</v>
      </c>
      <c r="I34" s="122">
        <f t="shared" si="10"/>
        <v>0</v>
      </c>
      <c r="J34" s="122">
        <f t="shared" si="10"/>
        <v>225590055.69</v>
      </c>
      <c r="K34" s="122">
        <f t="shared" si="10"/>
        <v>0</v>
      </c>
      <c r="L34" s="122">
        <f t="shared" si="10"/>
        <v>0</v>
      </c>
      <c r="M34" s="122">
        <f t="shared" si="10"/>
        <v>0</v>
      </c>
      <c r="N34" s="122">
        <f t="shared" si="10"/>
        <v>0</v>
      </c>
      <c r="O34" s="126">
        <f t="shared" si="10"/>
        <v>0</v>
      </c>
      <c r="P34" s="10" t="b">
        <f t="shared" si="4"/>
        <v>1</v>
      </c>
      <c r="Q34" s="26" t="b">
        <f t="shared" si="5"/>
        <v>1</v>
      </c>
      <c r="R34" s="19"/>
      <c r="S34" s="19"/>
      <c r="T34" s="2"/>
      <c r="U34" s="2"/>
    </row>
    <row r="35" spans="1:21" ht="39.950000000000003" customHeight="1" thickBot="1">
      <c r="A35" s="49" t="s">
        <v>39</v>
      </c>
      <c r="B35" s="127">
        <f>B23+B32</f>
        <v>63</v>
      </c>
      <c r="C35" s="128">
        <f t="shared" ref="C35:O35" si="11">C23+C32</f>
        <v>339635093.37</v>
      </c>
      <c r="D35" s="129">
        <f t="shared" si="11"/>
        <v>136673784.22</v>
      </c>
      <c r="E35" s="77">
        <f t="shared" si="11"/>
        <v>202961309.15000004</v>
      </c>
      <c r="F35" s="130">
        <f t="shared" si="11"/>
        <v>0</v>
      </c>
      <c r="G35" s="128">
        <f t="shared" si="11"/>
        <v>0</v>
      </c>
      <c r="H35" s="128">
        <f t="shared" si="11"/>
        <v>0</v>
      </c>
      <c r="I35" s="128">
        <f t="shared" si="11"/>
        <v>0</v>
      </c>
      <c r="J35" s="128">
        <f t="shared" si="11"/>
        <v>46638385.509999998</v>
      </c>
      <c r="K35" s="128">
        <f t="shared" si="11"/>
        <v>115505360.67</v>
      </c>
      <c r="L35" s="128">
        <f t="shared" si="11"/>
        <v>40817562.969999999</v>
      </c>
      <c r="M35" s="128">
        <f t="shared" si="11"/>
        <v>0</v>
      </c>
      <c r="N35" s="128">
        <f t="shared" si="11"/>
        <v>0</v>
      </c>
      <c r="O35" s="131">
        <f t="shared" si="11"/>
        <v>0</v>
      </c>
      <c r="P35" s="10" t="b">
        <f t="shared" si="4"/>
        <v>1</v>
      </c>
      <c r="Q35" s="26" t="b">
        <f t="shared" si="5"/>
        <v>1</v>
      </c>
      <c r="R35" s="19"/>
      <c r="S35" s="19"/>
      <c r="T35" s="2"/>
      <c r="U35" s="2"/>
    </row>
    <row r="36" spans="1:21" ht="15.75" thickTop="1">
      <c r="A36" s="20"/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19"/>
      <c r="S36" s="19"/>
      <c r="T36" s="2"/>
      <c r="U36" s="2"/>
    </row>
    <row r="37" spans="1:21">
      <c r="A37" s="20"/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19"/>
      <c r="S37" s="19"/>
      <c r="T37" s="2"/>
      <c r="U37" s="2"/>
    </row>
    <row r="38" spans="1:21">
      <c r="A38" s="20"/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19"/>
      <c r="S38" s="19"/>
      <c r="T38" s="2"/>
      <c r="U38" s="2"/>
    </row>
    <row r="39" spans="1:21">
      <c r="A39" s="20"/>
      <c r="B39" s="20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19"/>
      <c r="S39" s="19"/>
      <c r="T39" s="2"/>
      <c r="U39" s="2"/>
    </row>
    <row r="40" spans="1:21">
      <c r="A40" s="21"/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"/>
      <c r="S40" s="2"/>
      <c r="T40" s="2"/>
      <c r="U40" s="2"/>
    </row>
    <row r="41" spans="1:21">
      <c r="A41" s="21"/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"/>
      <c r="S41" s="2"/>
      <c r="T41" s="2"/>
      <c r="U41" s="2"/>
    </row>
    <row r="42" spans="1:21">
      <c r="A42" s="21"/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"/>
      <c r="S42" s="2"/>
      <c r="T42" s="2"/>
      <c r="U42" s="2"/>
    </row>
  </sheetData>
  <mergeCells count="8">
    <mergeCell ref="F2:N6"/>
    <mergeCell ref="F7:N7"/>
    <mergeCell ref="A10:A11"/>
    <mergeCell ref="B10:B11"/>
    <mergeCell ref="C10:C11"/>
    <mergeCell ref="D10:D11"/>
    <mergeCell ref="E10:E11"/>
    <mergeCell ref="F10:O10"/>
  </mergeCells>
  <pageMargins left="0.70866141732283472" right="0.70866141732283472" top="0.74803149606299213" bottom="0.74803149606299213" header="0.31496062992125984" footer="0.31496062992125984"/>
  <pageSetup paperSize="8" scale="65" orientation="landscape" r:id="rId1"/>
  <headerFooter>
    <oddHeader>&amp;LWojewództwo podlaskie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B80"/>
  <sheetViews>
    <sheetView showGridLines="0" view="pageBreakPreview" zoomScale="90" zoomScaleNormal="70" zoomScaleSheetLayoutView="90" workbookViewId="0">
      <selection sqref="A1:A2"/>
    </sheetView>
  </sheetViews>
  <sheetFormatPr defaultRowHeight="15"/>
  <cols>
    <col min="1" max="1" width="6.140625" style="168" customWidth="1"/>
    <col min="2" max="2" width="7.140625" style="4" customWidth="1"/>
    <col min="3" max="3" width="16.140625" style="4" customWidth="1"/>
    <col min="4" max="4" width="19.140625" style="4" customWidth="1"/>
    <col min="5" max="5" width="9.7109375" style="4" customWidth="1"/>
    <col min="6" max="6" width="65.7109375" style="4" customWidth="1"/>
    <col min="7" max="7" width="8.85546875" style="4" customWidth="1"/>
    <col min="8" max="8" width="13" style="4" customWidth="1"/>
    <col min="9" max="9" width="13.7109375" style="291" customWidth="1"/>
    <col min="10" max="12" width="15.7109375" style="191" customWidth="1"/>
    <col min="13" max="13" width="15.7109375" style="137" customWidth="1"/>
    <col min="14" max="15" width="15.7109375" style="191" customWidth="1"/>
    <col min="16" max="16" width="17.85546875" style="191" customWidth="1"/>
    <col min="17" max="19" width="15.7109375" style="191" customWidth="1"/>
    <col min="20" max="20" width="23.42578125" style="191" bestFit="1" customWidth="1"/>
    <col min="21" max="21" width="11.7109375" style="191" customWidth="1"/>
    <col min="22" max="22" width="11.140625" style="191" customWidth="1"/>
    <col min="23" max="23" width="12.42578125" style="191" customWidth="1"/>
    <col min="24" max="24" width="16.85546875" style="27" customWidth="1"/>
    <col min="25" max="26" width="15.7109375" style="1" customWidth="1"/>
    <col min="27" max="27" width="15.7109375" style="27" customWidth="1"/>
    <col min="28" max="16384" width="9.140625" style="3"/>
  </cols>
  <sheetData>
    <row r="1" spans="1:27" ht="27" customHeight="1">
      <c r="A1" s="355" t="s">
        <v>4</v>
      </c>
      <c r="B1" s="355" t="s">
        <v>5</v>
      </c>
      <c r="C1" s="355" t="s">
        <v>60</v>
      </c>
      <c r="D1" s="355" t="s">
        <v>6</v>
      </c>
      <c r="E1" s="355" t="s">
        <v>33</v>
      </c>
      <c r="F1" s="355" t="s">
        <v>7</v>
      </c>
      <c r="G1" s="355" t="s">
        <v>27</v>
      </c>
      <c r="H1" s="355" t="s">
        <v>108</v>
      </c>
      <c r="I1" s="355" t="s">
        <v>24</v>
      </c>
      <c r="J1" s="355" t="s">
        <v>9</v>
      </c>
      <c r="K1" s="355" t="s">
        <v>16</v>
      </c>
      <c r="L1" s="355" t="s">
        <v>13</v>
      </c>
      <c r="M1" s="355" t="s">
        <v>11</v>
      </c>
      <c r="N1" s="355" t="s">
        <v>12</v>
      </c>
      <c r="O1" s="355"/>
      <c r="P1" s="355"/>
      <c r="Q1" s="355"/>
      <c r="R1" s="355"/>
      <c r="S1" s="355"/>
      <c r="T1" s="355"/>
      <c r="U1" s="355"/>
      <c r="V1" s="355"/>
      <c r="W1" s="355"/>
      <c r="X1" s="137"/>
      <c r="Y1" s="137"/>
      <c r="Z1" s="137"/>
      <c r="AA1" s="168"/>
    </row>
    <row r="2" spans="1:27" ht="28.15" customHeight="1">
      <c r="A2" s="355"/>
      <c r="B2" s="355"/>
      <c r="C2" s="355"/>
      <c r="D2" s="355"/>
      <c r="E2" s="355"/>
      <c r="F2" s="355"/>
      <c r="G2" s="355"/>
      <c r="H2" s="355"/>
      <c r="I2" s="355"/>
      <c r="J2" s="355"/>
      <c r="K2" s="355"/>
      <c r="L2" s="355"/>
      <c r="M2" s="355"/>
      <c r="N2" s="319">
        <v>2019</v>
      </c>
      <c r="O2" s="319">
        <v>2020</v>
      </c>
      <c r="P2" s="319">
        <v>2021</v>
      </c>
      <c r="Q2" s="319">
        <v>2022</v>
      </c>
      <c r="R2" s="319">
        <v>2023</v>
      </c>
      <c r="S2" s="319">
        <v>2024</v>
      </c>
      <c r="T2" s="319">
        <v>2025</v>
      </c>
      <c r="U2" s="319">
        <v>2026</v>
      </c>
      <c r="V2" s="319">
        <v>2027</v>
      </c>
      <c r="W2" s="319">
        <v>2028</v>
      </c>
      <c r="X2" s="137" t="s">
        <v>29</v>
      </c>
      <c r="Y2" s="137" t="s">
        <v>30</v>
      </c>
      <c r="Z2" s="137" t="s">
        <v>31</v>
      </c>
      <c r="AA2" s="28" t="s">
        <v>32</v>
      </c>
    </row>
    <row r="3" spans="1:27" s="50" customFormat="1" ht="36.75" customHeight="1">
      <c r="A3" s="243">
        <v>1</v>
      </c>
      <c r="B3" s="243">
        <v>287</v>
      </c>
      <c r="C3" s="243" t="s">
        <v>45</v>
      </c>
      <c r="D3" s="243" t="s">
        <v>219</v>
      </c>
      <c r="E3" s="243">
        <v>2011</v>
      </c>
      <c r="F3" s="250" t="s">
        <v>220</v>
      </c>
      <c r="G3" s="246" t="s">
        <v>48</v>
      </c>
      <c r="H3" s="247">
        <v>5.5019999999999998</v>
      </c>
      <c r="I3" s="262" t="s">
        <v>221</v>
      </c>
      <c r="J3" s="252">
        <v>18035652.059999999</v>
      </c>
      <c r="K3" s="251">
        <f>ROUNDUP(J3*M3,2)</f>
        <v>10821391.24</v>
      </c>
      <c r="L3" s="252">
        <f>J3-K3</f>
        <v>7214260.8199999984</v>
      </c>
      <c r="M3" s="164">
        <v>0.6</v>
      </c>
      <c r="N3" s="253">
        <v>0</v>
      </c>
      <c r="O3" s="253">
        <v>0</v>
      </c>
      <c r="P3" s="263">
        <v>2778933.27</v>
      </c>
      <c r="Q3" s="263">
        <v>4386992.01</v>
      </c>
      <c r="R3" s="253">
        <v>3655465.96</v>
      </c>
      <c r="S3" s="162"/>
      <c r="T3" s="162"/>
      <c r="U3" s="162"/>
      <c r="V3" s="162"/>
      <c r="W3" s="162"/>
      <c r="X3" s="137" t="b">
        <f>K3=SUM(N3:W3)</f>
        <v>1</v>
      </c>
      <c r="Y3" s="179">
        <f>ROUND(K3/J3,4)</f>
        <v>0.6</v>
      </c>
      <c r="Z3" s="180" t="b">
        <f>Y3=M3</f>
        <v>1</v>
      </c>
      <c r="AA3" s="180" t="b">
        <f>J3=K3+L3</f>
        <v>1</v>
      </c>
    </row>
    <row r="4" spans="1:27" s="50" customFormat="1" ht="36.75" customHeight="1">
      <c r="A4" s="243">
        <v>2</v>
      </c>
      <c r="B4" s="243">
        <v>413</v>
      </c>
      <c r="C4" s="243" t="s">
        <v>45</v>
      </c>
      <c r="D4" s="243" t="s">
        <v>219</v>
      </c>
      <c r="E4" s="243">
        <v>2011</v>
      </c>
      <c r="F4" s="250" t="s">
        <v>209</v>
      </c>
      <c r="G4" s="246" t="s">
        <v>46</v>
      </c>
      <c r="H4" s="247">
        <v>3.85</v>
      </c>
      <c r="I4" s="262" t="s">
        <v>222</v>
      </c>
      <c r="J4" s="252">
        <v>4727000.7</v>
      </c>
      <c r="K4" s="251">
        <f>ROUNDDOWN(J4*M4,2)</f>
        <v>2363500.35</v>
      </c>
      <c r="L4" s="252">
        <f>J4-K4</f>
        <v>2363500.35</v>
      </c>
      <c r="M4" s="164">
        <v>0.5</v>
      </c>
      <c r="N4" s="253">
        <v>0</v>
      </c>
      <c r="O4" s="253">
        <v>0</v>
      </c>
      <c r="P4" s="263">
        <v>88631.26</v>
      </c>
      <c r="Q4" s="263">
        <v>1477187.72</v>
      </c>
      <c r="R4" s="253">
        <v>797681.37</v>
      </c>
      <c r="S4" s="162"/>
      <c r="T4" s="162"/>
      <c r="U4" s="162"/>
      <c r="V4" s="162"/>
      <c r="W4" s="162"/>
      <c r="X4" s="137" t="b">
        <f t="shared" ref="X4:X67" si="0">K4=SUM(N4:W4)</f>
        <v>1</v>
      </c>
      <c r="Y4" s="179">
        <f t="shared" ref="Y4:Y67" si="1">ROUND(K4/J4,4)</f>
        <v>0.5</v>
      </c>
      <c r="Z4" s="180" t="b">
        <f t="shared" ref="Z4:Z63" si="2">Y4=M4</f>
        <v>1</v>
      </c>
      <c r="AA4" s="180" t="b">
        <f t="shared" ref="AA4:AA67" si="3">J4=K4+L4</f>
        <v>1</v>
      </c>
    </row>
    <row r="5" spans="1:27" s="50" customFormat="1" ht="36.75" customHeight="1">
      <c r="A5" s="243">
        <v>3</v>
      </c>
      <c r="B5" s="243">
        <v>310</v>
      </c>
      <c r="C5" s="243" t="s">
        <v>45</v>
      </c>
      <c r="D5" s="243" t="s">
        <v>223</v>
      </c>
      <c r="E5" s="243">
        <v>2007</v>
      </c>
      <c r="F5" s="250" t="s">
        <v>75</v>
      </c>
      <c r="G5" s="246" t="s">
        <v>46</v>
      </c>
      <c r="H5" s="247">
        <v>4.5250000000000004</v>
      </c>
      <c r="I5" s="262" t="s">
        <v>224</v>
      </c>
      <c r="J5" s="252">
        <v>5725360.8499999996</v>
      </c>
      <c r="K5" s="251">
        <f>ROUNDDOWN(J5*M5,2)</f>
        <v>2862680.42</v>
      </c>
      <c r="L5" s="252">
        <f>J5-K5</f>
        <v>2862680.4299999997</v>
      </c>
      <c r="M5" s="164">
        <v>0.5</v>
      </c>
      <c r="N5" s="253">
        <v>0</v>
      </c>
      <c r="O5" s="253">
        <v>0</v>
      </c>
      <c r="P5" s="263">
        <v>41115</v>
      </c>
      <c r="Q5" s="263">
        <v>822300</v>
      </c>
      <c r="R5" s="253">
        <v>1999265.42</v>
      </c>
      <c r="S5" s="162"/>
      <c r="T5" s="162"/>
      <c r="U5" s="162"/>
      <c r="V5" s="162"/>
      <c r="W5" s="162"/>
      <c r="X5" s="137" t="b">
        <f t="shared" si="0"/>
        <v>1</v>
      </c>
      <c r="Y5" s="179">
        <f t="shared" si="1"/>
        <v>0.5</v>
      </c>
      <c r="Z5" s="180" t="b">
        <f t="shared" si="2"/>
        <v>1</v>
      </c>
      <c r="AA5" s="180" t="b">
        <f t="shared" si="3"/>
        <v>1</v>
      </c>
    </row>
    <row r="6" spans="1:27" s="50" customFormat="1" ht="41.25" customHeight="1">
      <c r="A6" s="243">
        <v>4</v>
      </c>
      <c r="B6" s="243">
        <v>284</v>
      </c>
      <c r="C6" s="243" t="s">
        <v>45</v>
      </c>
      <c r="D6" s="243" t="s">
        <v>62</v>
      </c>
      <c r="E6" s="243">
        <v>2011</v>
      </c>
      <c r="F6" s="250" t="s">
        <v>78</v>
      </c>
      <c r="G6" s="249" t="s">
        <v>46</v>
      </c>
      <c r="H6" s="184">
        <v>7.42</v>
      </c>
      <c r="I6" s="262" t="s">
        <v>207</v>
      </c>
      <c r="J6" s="252">
        <v>8580000</v>
      </c>
      <c r="K6" s="251">
        <v>3540000</v>
      </c>
      <c r="L6" s="252">
        <v>5040000</v>
      </c>
      <c r="M6" s="164">
        <f>ROUND(K6/J6,4)</f>
        <v>0.41260000000000002</v>
      </c>
      <c r="N6" s="253">
        <v>0</v>
      </c>
      <c r="O6" s="253">
        <v>0</v>
      </c>
      <c r="P6" s="263">
        <v>0</v>
      </c>
      <c r="Q6" s="263">
        <v>2600000</v>
      </c>
      <c r="R6" s="253">
        <v>940000</v>
      </c>
      <c r="S6" s="162"/>
      <c r="T6" s="162"/>
      <c r="U6" s="162"/>
      <c r="V6" s="162"/>
      <c r="W6" s="162"/>
      <c r="X6" s="137" t="b">
        <f t="shared" si="0"/>
        <v>1</v>
      </c>
      <c r="Y6" s="179">
        <f t="shared" si="1"/>
        <v>0.41260000000000002</v>
      </c>
      <c r="Z6" s="180" t="b">
        <f t="shared" si="2"/>
        <v>1</v>
      </c>
      <c r="AA6" s="180" t="b">
        <f t="shared" si="3"/>
        <v>1</v>
      </c>
    </row>
    <row r="7" spans="1:27" s="50" customFormat="1" ht="48" customHeight="1">
      <c r="A7" s="243">
        <v>5</v>
      </c>
      <c r="B7" s="243">
        <v>217</v>
      </c>
      <c r="C7" s="243" t="s">
        <v>45</v>
      </c>
      <c r="D7" s="243" t="s">
        <v>225</v>
      </c>
      <c r="E7" s="183" t="s">
        <v>76</v>
      </c>
      <c r="F7" s="250" t="s">
        <v>80</v>
      </c>
      <c r="G7" s="246" t="s">
        <v>49</v>
      </c>
      <c r="H7" s="247">
        <v>5.0209999999999999</v>
      </c>
      <c r="I7" s="262" t="s">
        <v>210</v>
      </c>
      <c r="J7" s="252">
        <v>8264527.6900000004</v>
      </c>
      <c r="K7" s="251">
        <f>ROUNDDOWN(J7*M7,2)</f>
        <v>4132263.84</v>
      </c>
      <c r="L7" s="252">
        <f>J7-K7</f>
        <v>4132263.8500000006</v>
      </c>
      <c r="M7" s="164">
        <v>0.5</v>
      </c>
      <c r="N7" s="253">
        <v>0</v>
      </c>
      <c r="O7" s="253">
        <v>0</v>
      </c>
      <c r="P7" s="263">
        <v>375592.06</v>
      </c>
      <c r="Q7" s="263">
        <v>1877960.3</v>
      </c>
      <c r="R7" s="253">
        <v>1878711.48</v>
      </c>
      <c r="S7" s="162"/>
      <c r="T7" s="162"/>
      <c r="U7" s="162"/>
      <c r="V7" s="162"/>
      <c r="W7" s="162"/>
      <c r="X7" s="137" t="b">
        <f t="shared" si="0"/>
        <v>1</v>
      </c>
      <c r="Y7" s="179">
        <f t="shared" si="1"/>
        <v>0.5</v>
      </c>
      <c r="Z7" s="180" t="b">
        <f t="shared" si="2"/>
        <v>1</v>
      </c>
      <c r="AA7" s="180" t="b">
        <f t="shared" si="3"/>
        <v>1</v>
      </c>
    </row>
    <row r="8" spans="1:27" s="155" customFormat="1" ht="36.75" customHeight="1">
      <c r="A8" s="243">
        <v>6</v>
      </c>
      <c r="B8" s="243">
        <v>280</v>
      </c>
      <c r="C8" s="243" t="s">
        <v>45</v>
      </c>
      <c r="D8" s="243" t="s">
        <v>218</v>
      </c>
      <c r="E8" s="183" t="s">
        <v>82</v>
      </c>
      <c r="F8" s="250" t="s">
        <v>83</v>
      </c>
      <c r="G8" s="246" t="s">
        <v>46</v>
      </c>
      <c r="H8" s="247">
        <v>2.3449</v>
      </c>
      <c r="I8" s="262" t="s">
        <v>115</v>
      </c>
      <c r="J8" s="252">
        <v>2966496.02</v>
      </c>
      <c r="K8" s="251">
        <f>ROUNDDOWN(J8*M8,2)</f>
        <v>1483248.01</v>
      </c>
      <c r="L8" s="252">
        <f>J8-K8</f>
        <v>1483248.01</v>
      </c>
      <c r="M8" s="164">
        <v>0.5</v>
      </c>
      <c r="N8" s="253">
        <v>0</v>
      </c>
      <c r="O8" s="253">
        <v>0</v>
      </c>
      <c r="P8" s="263">
        <v>463547.24</v>
      </c>
      <c r="Q8" s="263">
        <v>505294.53</v>
      </c>
      <c r="R8" s="253">
        <v>514406.24</v>
      </c>
      <c r="S8" s="212"/>
      <c r="T8" s="212"/>
      <c r="U8" s="212"/>
      <c r="V8" s="212"/>
      <c r="W8" s="162"/>
      <c r="X8" s="137" t="b">
        <f t="shared" si="0"/>
        <v>1</v>
      </c>
      <c r="Y8" s="179">
        <f t="shared" si="1"/>
        <v>0.5</v>
      </c>
      <c r="Z8" s="180" t="b">
        <f t="shared" si="2"/>
        <v>1</v>
      </c>
      <c r="AA8" s="180" t="b">
        <f t="shared" si="3"/>
        <v>1</v>
      </c>
    </row>
    <row r="9" spans="1:27" s="155" customFormat="1" ht="43.5" customHeight="1">
      <c r="A9" s="243">
        <v>7</v>
      </c>
      <c r="B9" s="243">
        <v>304</v>
      </c>
      <c r="C9" s="243" t="s">
        <v>45</v>
      </c>
      <c r="D9" s="243" t="s">
        <v>226</v>
      </c>
      <c r="E9" s="243">
        <v>2007</v>
      </c>
      <c r="F9" s="250" t="s">
        <v>84</v>
      </c>
      <c r="G9" s="246" t="s">
        <v>46</v>
      </c>
      <c r="H9" s="247">
        <v>2.35</v>
      </c>
      <c r="I9" s="262" t="s">
        <v>224</v>
      </c>
      <c r="J9" s="165">
        <v>9525573.3200000003</v>
      </c>
      <c r="K9" s="251">
        <v>3954111.23</v>
      </c>
      <c r="L9" s="252">
        <f>J9-K9</f>
        <v>5571462.0899999999</v>
      </c>
      <c r="M9" s="164">
        <f>ROUND(K9/J9,4)</f>
        <v>0.41510000000000002</v>
      </c>
      <c r="N9" s="253">
        <v>0</v>
      </c>
      <c r="O9" s="253">
        <v>0</v>
      </c>
      <c r="P9" s="263">
        <v>64206</v>
      </c>
      <c r="Q9" s="263">
        <v>1500000</v>
      </c>
      <c r="R9" s="263">
        <v>2389905.23</v>
      </c>
      <c r="S9" s="285"/>
      <c r="T9" s="212"/>
      <c r="U9" s="212"/>
      <c r="V9" s="212"/>
      <c r="W9" s="162"/>
      <c r="X9" s="137" t="b">
        <f t="shared" si="0"/>
        <v>1</v>
      </c>
      <c r="Y9" s="179">
        <f t="shared" si="1"/>
        <v>0.41510000000000002</v>
      </c>
      <c r="Z9" s="180" t="b">
        <f t="shared" si="2"/>
        <v>1</v>
      </c>
      <c r="AA9" s="180" t="b">
        <f t="shared" si="3"/>
        <v>1</v>
      </c>
    </row>
    <row r="10" spans="1:27" s="155" customFormat="1" ht="38.25">
      <c r="A10" s="243">
        <v>8</v>
      </c>
      <c r="B10" s="243">
        <v>285</v>
      </c>
      <c r="C10" s="243" t="s">
        <v>45</v>
      </c>
      <c r="D10" s="243" t="s">
        <v>62</v>
      </c>
      <c r="E10" s="243">
        <v>2011</v>
      </c>
      <c r="F10" s="250" t="s">
        <v>211</v>
      </c>
      <c r="G10" s="246" t="s">
        <v>46</v>
      </c>
      <c r="H10" s="247">
        <v>11</v>
      </c>
      <c r="I10" s="262" t="s">
        <v>207</v>
      </c>
      <c r="J10" s="252">
        <v>10980000</v>
      </c>
      <c r="K10" s="251">
        <v>5310000</v>
      </c>
      <c r="L10" s="252">
        <v>5670000</v>
      </c>
      <c r="M10" s="164">
        <f>ROUND(K10/J10,4)</f>
        <v>0.48359999999999997</v>
      </c>
      <c r="N10" s="253">
        <v>0</v>
      </c>
      <c r="O10" s="253">
        <v>0</v>
      </c>
      <c r="P10" s="263">
        <v>0</v>
      </c>
      <c r="Q10" s="263">
        <v>3011000</v>
      </c>
      <c r="R10" s="253">
        <v>2299000</v>
      </c>
      <c r="S10" s="212"/>
      <c r="T10" s="212"/>
      <c r="U10" s="212"/>
      <c r="V10" s="212"/>
      <c r="W10" s="162"/>
      <c r="X10" s="137" t="b">
        <f t="shared" si="0"/>
        <v>1</v>
      </c>
      <c r="Y10" s="179">
        <f t="shared" si="1"/>
        <v>0.48359999999999997</v>
      </c>
      <c r="Z10" s="180" t="b">
        <f t="shared" si="2"/>
        <v>1</v>
      </c>
      <c r="AA10" s="180" t="b">
        <f t="shared" si="3"/>
        <v>1</v>
      </c>
    </row>
    <row r="11" spans="1:27" ht="36.75" customHeight="1">
      <c r="A11" s="243">
        <v>9</v>
      </c>
      <c r="B11" s="243">
        <v>295</v>
      </c>
      <c r="C11" s="243" t="s">
        <v>45</v>
      </c>
      <c r="D11" s="243" t="s">
        <v>226</v>
      </c>
      <c r="E11" s="243">
        <v>2007</v>
      </c>
      <c r="F11" s="250" t="s">
        <v>512</v>
      </c>
      <c r="G11" s="246" t="s">
        <v>49</v>
      </c>
      <c r="H11" s="247">
        <v>0.62</v>
      </c>
      <c r="I11" s="262" t="s">
        <v>99</v>
      </c>
      <c r="J11" s="251">
        <v>2518749.67</v>
      </c>
      <c r="K11" s="251">
        <v>1139482.3500000001</v>
      </c>
      <c r="L11" s="251">
        <v>1379267.32</v>
      </c>
      <c r="M11" s="164">
        <f>ROUND(K11/J11,4)</f>
        <v>0.45240000000000002</v>
      </c>
      <c r="N11" s="253">
        <v>0</v>
      </c>
      <c r="O11" s="253">
        <v>0</v>
      </c>
      <c r="P11" s="263">
        <v>75000</v>
      </c>
      <c r="Q11" s="263">
        <v>1000000</v>
      </c>
      <c r="R11" s="263">
        <v>64482.35</v>
      </c>
      <c r="S11" s="162"/>
      <c r="T11" s="212"/>
      <c r="U11" s="212"/>
      <c r="V11" s="212"/>
      <c r="W11" s="162"/>
      <c r="X11" s="137" t="b">
        <f t="shared" si="0"/>
        <v>1</v>
      </c>
      <c r="Y11" s="179">
        <f t="shared" si="1"/>
        <v>0.45240000000000002</v>
      </c>
      <c r="Z11" s="180" t="b">
        <f t="shared" si="2"/>
        <v>1</v>
      </c>
      <c r="AA11" s="180" t="b">
        <f t="shared" si="3"/>
        <v>1</v>
      </c>
    </row>
    <row r="12" spans="1:27" ht="36.75" customHeight="1">
      <c r="A12" s="243">
        <v>10</v>
      </c>
      <c r="B12" s="243">
        <v>400</v>
      </c>
      <c r="C12" s="243" t="s">
        <v>45</v>
      </c>
      <c r="D12" s="243" t="s">
        <v>227</v>
      </c>
      <c r="E12" s="183" t="s">
        <v>82</v>
      </c>
      <c r="F12" s="250" t="s">
        <v>100</v>
      </c>
      <c r="G12" s="246" t="s">
        <v>49</v>
      </c>
      <c r="H12" s="247">
        <v>6.0136000000000003</v>
      </c>
      <c r="I12" s="262" t="s">
        <v>212</v>
      </c>
      <c r="J12" s="252">
        <v>6998974.8300000001</v>
      </c>
      <c r="K12" s="251">
        <f t="shared" ref="K12:K18" si="4">ROUNDDOWN(J12*M12,2)</f>
        <v>3499487.41</v>
      </c>
      <c r="L12" s="252">
        <f t="shared" ref="L12:L20" si="5">J12-K12</f>
        <v>3499487.42</v>
      </c>
      <c r="M12" s="164">
        <v>0.5</v>
      </c>
      <c r="N12" s="253">
        <v>0</v>
      </c>
      <c r="O12" s="253">
        <v>0</v>
      </c>
      <c r="P12" s="263">
        <v>1166482.5</v>
      </c>
      <c r="Q12" s="263">
        <v>1166482.5</v>
      </c>
      <c r="R12" s="253">
        <v>1166522.4099999999</v>
      </c>
      <c r="S12" s="212"/>
      <c r="T12" s="212"/>
      <c r="U12" s="212"/>
      <c r="V12" s="212"/>
      <c r="W12" s="162"/>
      <c r="X12" s="137" t="b">
        <f t="shared" si="0"/>
        <v>1</v>
      </c>
      <c r="Y12" s="179">
        <f t="shared" si="1"/>
        <v>0.5</v>
      </c>
      <c r="Z12" s="180" t="b">
        <f t="shared" si="2"/>
        <v>1</v>
      </c>
      <c r="AA12" s="180" t="b">
        <f t="shared" si="3"/>
        <v>1</v>
      </c>
    </row>
    <row r="13" spans="1:27" ht="25.5">
      <c r="A13" s="243">
        <v>11</v>
      </c>
      <c r="B13" s="243">
        <v>349</v>
      </c>
      <c r="C13" s="243" t="s">
        <v>45</v>
      </c>
      <c r="D13" s="243" t="s">
        <v>62</v>
      </c>
      <c r="E13" s="183" t="s">
        <v>120</v>
      </c>
      <c r="F13" s="250" t="s">
        <v>121</v>
      </c>
      <c r="G13" s="246" t="s">
        <v>49</v>
      </c>
      <c r="H13" s="247">
        <v>6.43</v>
      </c>
      <c r="I13" s="262" t="s">
        <v>122</v>
      </c>
      <c r="J13" s="252">
        <v>7918000</v>
      </c>
      <c r="K13" s="251">
        <f t="shared" si="4"/>
        <v>3959000</v>
      </c>
      <c r="L13" s="252">
        <f t="shared" si="5"/>
        <v>3959000</v>
      </c>
      <c r="M13" s="164">
        <v>0.5</v>
      </c>
      <c r="N13" s="253">
        <v>0</v>
      </c>
      <c r="O13" s="253">
        <v>0</v>
      </c>
      <c r="P13" s="263">
        <v>0</v>
      </c>
      <c r="Q13" s="263">
        <f>200000*M13</f>
        <v>100000</v>
      </c>
      <c r="R13" s="263">
        <f>3500000*M13</f>
        <v>1750000</v>
      </c>
      <c r="S13" s="263">
        <f>4218000*M13</f>
        <v>2109000</v>
      </c>
      <c r="T13" s="212"/>
      <c r="U13" s="212"/>
      <c r="V13" s="212"/>
      <c r="W13" s="162"/>
      <c r="X13" s="137" t="b">
        <f t="shared" si="0"/>
        <v>1</v>
      </c>
      <c r="Y13" s="179">
        <f t="shared" si="1"/>
        <v>0.5</v>
      </c>
      <c r="Z13" s="180" t="b">
        <f t="shared" si="2"/>
        <v>1</v>
      </c>
      <c r="AA13" s="180" t="b">
        <f t="shared" si="3"/>
        <v>1</v>
      </c>
    </row>
    <row r="14" spans="1:27" ht="36.75" customHeight="1">
      <c r="A14" s="243">
        <v>12</v>
      </c>
      <c r="B14" s="243">
        <v>108</v>
      </c>
      <c r="C14" s="243" t="s">
        <v>45</v>
      </c>
      <c r="D14" s="243" t="s">
        <v>47</v>
      </c>
      <c r="E14" s="183" t="s">
        <v>76</v>
      </c>
      <c r="F14" s="250" t="s">
        <v>123</v>
      </c>
      <c r="G14" s="246" t="s">
        <v>48</v>
      </c>
      <c r="H14" s="247">
        <v>0.91300000000000003</v>
      </c>
      <c r="I14" s="262" t="s">
        <v>124</v>
      </c>
      <c r="J14" s="252">
        <v>4960000</v>
      </c>
      <c r="K14" s="251">
        <f t="shared" si="4"/>
        <v>2480000</v>
      </c>
      <c r="L14" s="252">
        <f t="shared" si="5"/>
        <v>2480000</v>
      </c>
      <c r="M14" s="164">
        <v>0.5</v>
      </c>
      <c r="N14" s="253">
        <v>0</v>
      </c>
      <c r="O14" s="253">
        <v>0</v>
      </c>
      <c r="P14" s="263">
        <v>0</v>
      </c>
      <c r="Q14" s="263">
        <f>1460000*M14</f>
        <v>730000</v>
      </c>
      <c r="R14" s="263">
        <f>2000000*M14</f>
        <v>1000000</v>
      </c>
      <c r="S14" s="263">
        <f>1500000*M14</f>
        <v>750000</v>
      </c>
      <c r="T14" s="212"/>
      <c r="U14" s="212"/>
      <c r="V14" s="212"/>
      <c r="W14" s="162"/>
      <c r="X14" s="137" t="b">
        <f t="shared" si="0"/>
        <v>1</v>
      </c>
      <c r="Y14" s="179">
        <f t="shared" si="1"/>
        <v>0.5</v>
      </c>
      <c r="Z14" s="180" t="b">
        <f t="shared" si="2"/>
        <v>1</v>
      </c>
      <c r="AA14" s="180" t="b">
        <f t="shared" si="3"/>
        <v>1</v>
      </c>
    </row>
    <row r="15" spans="1:27" ht="36.75" customHeight="1">
      <c r="A15" s="243">
        <v>13</v>
      </c>
      <c r="B15" s="243">
        <v>118</v>
      </c>
      <c r="C15" s="243" t="s">
        <v>45</v>
      </c>
      <c r="D15" s="243" t="s">
        <v>47</v>
      </c>
      <c r="E15" s="183" t="s">
        <v>76</v>
      </c>
      <c r="F15" s="250" t="s">
        <v>125</v>
      </c>
      <c r="G15" s="246" t="s">
        <v>48</v>
      </c>
      <c r="H15" s="247">
        <v>0.40400000000000003</v>
      </c>
      <c r="I15" s="262" t="s">
        <v>126</v>
      </c>
      <c r="J15" s="252">
        <v>2970000</v>
      </c>
      <c r="K15" s="251">
        <f t="shared" si="4"/>
        <v>1485000</v>
      </c>
      <c r="L15" s="252">
        <f t="shared" si="5"/>
        <v>1485000</v>
      </c>
      <c r="M15" s="164">
        <v>0.5</v>
      </c>
      <c r="N15" s="253">
        <v>0</v>
      </c>
      <c r="O15" s="253">
        <v>0</v>
      </c>
      <c r="P15" s="263">
        <v>0</v>
      </c>
      <c r="Q15" s="263">
        <f>470000*M15</f>
        <v>235000</v>
      </c>
      <c r="R15" s="263">
        <f>1000000*M15</f>
        <v>500000</v>
      </c>
      <c r="S15" s="263">
        <f>1500000*M15</f>
        <v>750000</v>
      </c>
      <c r="T15" s="212"/>
      <c r="U15" s="212"/>
      <c r="V15" s="212"/>
      <c r="W15" s="162"/>
      <c r="X15" s="137" t="b">
        <f t="shared" si="0"/>
        <v>1</v>
      </c>
      <c r="Y15" s="179">
        <f t="shared" si="1"/>
        <v>0.5</v>
      </c>
      <c r="Z15" s="180" t="b">
        <f t="shared" si="2"/>
        <v>1</v>
      </c>
      <c r="AA15" s="180" t="b">
        <f t="shared" si="3"/>
        <v>1</v>
      </c>
    </row>
    <row r="16" spans="1:27" ht="36.75" customHeight="1">
      <c r="A16" s="243">
        <v>14</v>
      </c>
      <c r="B16" s="243">
        <v>261</v>
      </c>
      <c r="C16" s="243" t="s">
        <v>45</v>
      </c>
      <c r="D16" s="243" t="s">
        <v>72</v>
      </c>
      <c r="E16" s="183" t="s">
        <v>127</v>
      </c>
      <c r="F16" s="250" t="s">
        <v>128</v>
      </c>
      <c r="G16" s="246" t="s">
        <v>46</v>
      </c>
      <c r="H16" s="247">
        <v>1.85</v>
      </c>
      <c r="I16" s="262" t="s">
        <v>129</v>
      </c>
      <c r="J16" s="252">
        <v>2613500</v>
      </c>
      <c r="K16" s="251">
        <f t="shared" si="4"/>
        <v>1306750</v>
      </c>
      <c r="L16" s="252">
        <f t="shared" si="5"/>
        <v>1306750</v>
      </c>
      <c r="M16" s="164">
        <v>0.5</v>
      </c>
      <c r="N16" s="253">
        <v>0</v>
      </c>
      <c r="O16" s="253">
        <v>0</v>
      </c>
      <c r="P16" s="263">
        <v>0</v>
      </c>
      <c r="Q16" s="263">
        <f>1353500*M16</f>
        <v>676750</v>
      </c>
      <c r="R16" s="263">
        <f>1260000*M16</f>
        <v>630000</v>
      </c>
      <c r="S16" s="263"/>
      <c r="T16" s="162"/>
      <c r="U16" s="162"/>
      <c r="V16" s="162"/>
      <c r="W16" s="162"/>
      <c r="X16" s="137" t="b">
        <f t="shared" si="0"/>
        <v>1</v>
      </c>
      <c r="Y16" s="179">
        <f t="shared" si="1"/>
        <v>0.5</v>
      </c>
      <c r="Z16" s="180" t="b">
        <f t="shared" si="2"/>
        <v>1</v>
      </c>
      <c r="AA16" s="180" t="b">
        <f t="shared" si="3"/>
        <v>1</v>
      </c>
    </row>
    <row r="17" spans="1:28" ht="36.75" customHeight="1">
      <c r="A17" s="243">
        <v>15</v>
      </c>
      <c r="B17" s="243">
        <v>165</v>
      </c>
      <c r="C17" s="243" t="s">
        <v>45</v>
      </c>
      <c r="D17" s="243" t="s">
        <v>62</v>
      </c>
      <c r="E17" s="183" t="s">
        <v>120</v>
      </c>
      <c r="F17" s="250" t="s">
        <v>133</v>
      </c>
      <c r="G17" s="246" t="s">
        <v>49</v>
      </c>
      <c r="H17" s="247">
        <v>1.9</v>
      </c>
      <c r="I17" s="262" t="s">
        <v>134</v>
      </c>
      <c r="J17" s="252">
        <v>2600000</v>
      </c>
      <c r="K17" s="251">
        <f t="shared" si="4"/>
        <v>1300000</v>
      </c>
      <c r="L17" s="252">
        <f t="shared" si="5"/>
        <v>1300000</v>
      </c>
      <c r="M17" s="164">
        <v>0.5</v>
      </c>
      <c r="N17" s="253">
        <v>0</v>
      </c>
      <c r="O17" s="253">
        <v>0</v>
      </c>
      <c r="P17" s="263">
        <v>0</v>
      </c>
      <c r="Q17" s="263">
        <f>90000*M17</f>
        <v>45000</v>
      </c>
      <c r="R17" s="263">
        <f>1000000*M17</f>
        <v>500000</v>
      </c>
      <c r="S17" s="263">
        <f>1510000*M17</f>
        <v>755000</v>
      </c>
      <c r="T17" s="212"/>
      <c r="U17" s="212"/>
      <c r="V17" s="212"/>
      <c r="W17" s="162"/>
      <c r="X17" s="137" t="b">
        <f t="shared" si="0"/>
        <v>1</v>
      </c>
      <c r="Y17" s="179">
        <f t="shared" si="1"/>
        <v>0.5</v>
      </c>
      <c r="Z17" s="180" t="b">
        <f t="shared" si="2"/>
        <v>1</v>
      </c>
      <c r="AA17" s="180" t="b">
        <f t="shared" si="3"/>
        <v>1</v>
      </c>
    </row>
    <row r="18" spans="1:28" ht="36.75" customHeight="1">
      <c r="A18" s="243">
        <v>16</v>
      </c>
      <c r="B18" s="243">
        <v>170</v>
      </c>
      <c r="C18" s="243" t="s">
        <v>45</v>
      </c>
      <c r="D18" s="243" t="s">
        <v>62</v>
      </c>
      <c r="E18" s="183" t="s">
        <v>120</v>
      </c>
      <c r="F18" s="250" t="s">
        <v>135</v>
      </c>
      <c r="G18" s="246" t="s">
        <v>48</v>
      </c>
      <c r="H18" s="247">
        <v>4.93</v>
      </c>
      <c r="I18" s="262" t="s">
        <v>134</v>
      </c>
      <c r="J18" s="252">
        <v>7250000</v>
      </c>
      <c r="K18" s="251">
        <f t="shared" si="4"/>
        <v>3625000</v>
      </c>
      <c r="L18" s="252">
        <f t="shared" si="5"/>
        <v>3625000</v>
      </c>
      <c r="M18" s="164">
        <v>0.5</v>
      </c>
      <c r="N18" s="253">
        <v>0</v>
      </c>
      <c r="O18" s="253">
        <v>0</v>
      </c>
      <c r="P18" s="263">
        <v>0</v>
      </c>
      <c r="Q18" s="263">
        <f>198000*M18</f>
        <v>99000</v>
      </c>
      <c r="R18" s="263">
        <f>3050000*M18</f>
        <v>1525000</v>
      </c>
      <c r="S18" s="263">
        <f>4002000*M18</f>
        <v>2001000</v>
      </c>
      <c r="T18" s="212"/>
      <c r="U18" s="212"/>
      <c r="V18" s="212"/>
      <c r="W18" s="162"/>
      <c r="X18" s="137" t="b">
        <f t="shared" si="0"/>
        <v>1</v>
      </c>
      <c r="Y18" s="179">
        <f t="shared" si="1"/>
        <v>0.5</v>
      </c>
      <c r="Z18" s="180" t="b">
        <f t="shared" si="2"/>
        <v>1</v>
      </c>
      <c r="AA18" s="180" t="b">
        <f t="shared" si="3"/>
        <v>1</v>
      </c>
    </row>
    <row r="19" spans="1:28" ht="36.75" customHeight="1">
      <c r="A19" s="243">
        <v>17</v>
      </c>
      <c r="B19" s="243">
        <v>178</v>
      </c>
      <c r="C19" s="243" t="s">
        <v>45</v>
      </c>
      <c r="D19" s="243" t="s">
        <v>228</v>
      </c>
      <c r="E19" s="183" t="s">
        <v>136</v>
      </c>
      <c r="F19" s="250" t="s">
        <v>137</v>
      </c>
      <c r="G19" s="246" t="s">
        <v>46</v>
      </c>
      <c r="H19" s="247">
        <v>3.25</v>
      </c>
      <c r="I19" s="262" t="s">
        <v>229</v>
      </c>
      <c r="J19" s="252">
        <v>8066697.6100000003</v>
      </c>
      <c r="K19" s="251">
        <v>4027485.8</v>
      </c>
      <c r="L19" s="252">
        <f t="shared" si="5"/>
        <v>4039211.8100000005</v>
      </c>
      <c r="M19" s="166">
        <f>ROUND(K19/J19,4)</f>
        <v>0.49930000000000002</v>
      </c>
      <c r="N19" s="253">
        <v>0</v>
      </c>
      <c r="O19" s="253">
        <v>0</v>
      </c>
      <c r="P19" s="263">
        <v>0</v>
      </c>
      <c r="Q19" s="263">
        <v>1929966.76</v>
      </c>
      <c r="R19" s="263">
        <v>2097519.04</v>
      </c>
      <c r="S19" s="263"/>
      <c r="T19" s="212"/>
      <c r="U19" s="212"/>
      <c r="V19" s="212"/>
      <c r="W19" s="162"/>
      <c r="X19" s="137" t="b">
        <f t="shared" si="0"/>
        <v>1</v>
      </c>
      <c r="Y19" s="179">
        <f t="shared" si="1"/>
        <v>0.49930000000000002</v>
      </c>
      <c r="Z19" s="180" t="b">
        <f t="shared" si="2"/>
        <v>1</v>
      </c>
      <c r="AA19" s="180" t="b">
        <f t="shared" si="3"/>
        <v>1</v>
      </c>
    </row>
    <row r="20" spans="1:28" ht="36.75" customHeight="1">
      <c r="A20" s="243">
        <v>18</v>
      </c>
      <c r="B20" s="243">
        <v>175</v>
      </c>
      <c r="C20" s="243" t="s">
        <v>45</v>
      </c>
      <c r="D20" s="243" t="s">
        <v>217</v>
      </c>
      <c r="E20" s="183" t="s">
        <v>136</v>
      </c>
      <c r="F20" s="250" t="s">
        <v>140</v>
      </c>
      <c r="G20" s="246" t="s">
        <v>48</v>
      </c>
      <c r="H20" s="247">
        <v>6.7</v>
      </c>
      <c r="I20" s="262" t="s">
        <v>230</v>
      </c>
      <c r="J20" s="252">
        <v>22385447.530000001</v>
      </c>
      <c r="K20" s="251">
        <f>ROUNDDOWN(J20*M20,2)</f>
        <v>11192723.76</v>
      </c>
      <c r="L20" s="252">
        <f t="shared" si="5"/>
        <v>11192723.770000001</v>
      </c>
      <c r="M20" s="164">
        <v>0.5</v>
      </c>
      <c r="N20" s="253">
        <v>0</v>
      </c>
      <c r="O20" s="253">
        <v>0</v>
      </c>
      <c r="P20" s="263">
        <v>0</v>
      </c>
      <c r="Q20" s="263">
        <v>4698835.1900000004</v>
      </c>
      <c r="R20" s="263">
        <v>6493888.5700000003</v>
      </c>
      <c r="S20" s="263"/>
      <c r="T20" s="162"/>
      <c r="U20" s="162"/>
      <c r="V20" s="162"/>
      <c r="W20" s="162"/>
      <c r="X20" s="137" t="b">
        <f t="shared" si="0"/>
        <v>1</v>
      </c>
      <c r="Y20" s="179">
        <f t="shared" si="1"/>
        <v>0.5</v>
      </c>
      <c r="Z20" s="180" t="b">
        <f t="shared" si="2"/>
        <v>1</v>
      </c>
      <c r="AA20" s="180" t="b">
        <f t="shared" si="3"/>
        <v>1</v>
      </c>
    </row>
    <row r="21" spans="1:28" ht="36.75" customHeight="1">
      <c r="A21" s="243">
        <v>19</v>
      </c>
      <c r="B21" s="243">
        <v>168</v>
      </c>
      <c r="C21" s="243" t="s">
        <v>45</v>
      </c>
      <c r="D21" s="243" t="s">
        <v>62</v>
      </c>
      <c r="E21" s="183" t="s">
        <v>120</v>
      </c>
      <c r="F21" s="250" t="s">
        <v>141</v>
      </c>
      <c r="G21" s="246" t="s">
        <v>49</v>
      </c>
      <c r="H21" s="247">
        <v>3</v>
      </c>
      <c r="I21" s="262" t="s">
        <v>122</v>
      </c>
      <c r="J21" s="252">
        <v>3940000</v>
      </c>
      <c r="K21" s="251">
        <f>ROUNDDOWN(J21*M21,2)</f>
        <v>1970000</v>
      </c>
      <c r="L21" s="252">
        <f t="shared" ref="L21:L26" si="6">J21-K21</f>
        <v>1970000</v>
      </c>
      <c r="M21" s="164">
        <v>0.5</v>
      </c>
      <c r="N21" s="253">
        <v>0</v>
      </c>
      <c r="O21" s="253">
        <v>0</v>
      </c>
      <c r="P21" s="263">
        <v>0</v>
      </c>
      <c r="Q21" s="263">
        <f>120000*M21</f>
        <v>60000</v>
      </c>
      <c r="R21" s="263">
        <f>1800000*M21</f>
        <v>900000</v>
      </c>
      <c r="S21" s="263">
        <f>2020000*M21</f>
        <v>1010000</v>
      </c>
      <c r="T21" s="212"/>
      <c r="U21" s="212"/>
      <c r="V21" s="212"/>
      <c r="W21" s="162"/>
      <c r="X21" s="137" t="b">
        <f t="shared" si="0"/>
        <v>1</v>
      </c>
      <c r="Y21" s="179">
        <f t="shared" si="1"/>
        <v>0.5</v>
      </c>
      <c r="Z21" s="180" t="b">
        <f t="shared" si="2"/>
        <v>1</v>
      </c>
      <c r="AA21" s="180" t="b">
        <f t="shared" si="3"/>
        <v>1</v>
      </c>
    </row>
    <row r="22" spans="1:28" ht="36.75" customHeight="1">
      <c r="A22" s="243">
        <v>20</v>
      </c>
      <c r="B22" s="243">
        <v>166</v>
      </c>
      <c r="C22" s="243" t="s">
        <v>45</v>
      </c>
      <c r="D22" s="243" t="s">
        <v>62</v>
      </c>
      <c r="E22" s="183" t="s">
        <v>120</v>
      </c>
      <c r="F22" s="250" t="s">
        <v>142</v>
      </c>
      <c r="G22" s="246" t="s">
        <v>48</v>
      </c>
      <c r="H22" s="247">
        <v>8.75</v>
      </c>
      <c r="I22" s="262" t="s">
        <v>143</v>
      </c>
      <c r="J22" s="252">
        <v>13430000</v>
      </c>
      <c r="K22" s="251">
        <f>ROUNDDOWN(J22*M22,2)</f>
        <v>6715000</v>
      </c>
      <c r="L22" s="252">
        <f t="shared" si="6"/>
        <v>6715000</v>
      </c>
      <c r="M22" s="164">
        <v>0.5</v>
      </c>
      <c r="N22" s="253">
        <v>0</v>
      </c>
      <c r="O22" s="253">
        <v>0</v>
      </c>
      <c r="P22" s="263">
        <v>0</v>
      </c>
      <c r="Q22" s="263">
        <f>4000000*M22</f>
        <v>2000000</v>
      </c>
      <c r="R22" s="263">
        <f>2430000*M22</f>
        <v>1215000</v>
      </c>
      <c r="S22" s="263">
        <f>7000000*M22</f>
        <v>3500000</v>
      </c>
      <c r="T22" s="212"/>
      <c r="U22" s="212"/>
      <c r="V22" s="212"/>
      <c r="W22" s="162"/>
      <c r="X22" s="137" t="b">
        <f t="shared" si="0"/>
        <v>1</v>
      </c>
      <c r="Y22" s="179">
        <f t="shared" si="1"/>
        <v>0.5</v>
      </c>
      <c r="Z22" s="180" t="b">
        <f t="shared" si="2"/>
        <v>1</v>
      </c>
      <c r="AA22" s="180" t="b">
        <f t="shared" si="3"/>
        <v>1</v>
      </c>
    </row>
    <row r="23" spans="1:28" ht="36.75" customHeight="1">
      <c r="A23" s="243">
        <v>21</v>
      </c>
      <c r="B23" s="243">
        <v>177</v>
      </c>
      <c r="C23" s="243" t="s">
        <v>45</v>
      </c>
      <c r="D23" s="243" t="s">
        <v>228</v>
      </c>
      <c r="E23" s="183" t="s">
        <v>136</v>
      </c>
      <c r="F23" s="250" t="s">
        <v>144</v>
      </c>
      <c r="G23" s="246" t="s">
        <v>63</v>
      </c>
      <c r="H23" s="247">
        <v>7.0330000000000004</v>
      </c>
      <c r="I23" s="262" t="s">
        <v>231</v>
      </c>
      <c r="J23" s="252">
        <v>14656244.210000001</v>
      </c>
      <c r="K23" s="251">
        <v>5917249.4500000002</v>
      </c>
      <c r="L23" s="252">
        <f t="shared" si="6"/>
        <v>8738994.7600000016</v>
      </c>
      <c r="M23" s="164">
        <f>ROUND(K23/J23,4)</f>
        <v>0.4037</v>
      </c>
      <c r="N23" s="253">
        <v>0</v>
      </c>
      <c r="O23" s="253">
        <v>0</v>
      </c>
      <c r="P23" s="263">
        <v>0</v>
      </c>
      <c r="Q23" s="263">
        <v>304061.53999999998</v>
      </c>
      <c r="R23" s="263">
        <v>1792541.65</v>
      </c>
      <c r="S23" s="263">
        <v>3820646.26</v>
      </c>
      <c r="T23" s="212"/>
      <c r="U23" s="212"/>
      <c r="V23" s="212"/>
      <c r="W23" s="162"/>
      <c r="X23" s="137" t="b">
        <f t="shared" si="0"/>
        <v>1</v>
      </c>
      <c r="Y23" s="179">
        <f t="shared" si="1"/>
        <v>0.4037</v>
      </c>
      <c r="Z23" s="180" t="b">
        <f t="shared" si="2"/>
        <v>1</v>
      </c>
      <c r="AA23" s="180" t="b">
        <f t="shared" si="3"/>
        <v>1</v>
      </c>
    </row>
    <row r="24" spans="1:28" ht="36.75" customHeight="1">
      <c r="A24" s="243">
        <v>22</v>
      </c>
      <c r="B24" s="243">
        <v>161</v>
      </c>
      <c r="C24" s="243" t="s">
        <v>45</v>
      </c>
      <c r="D24" s="243" t="s">
        <v>62</v>
      </c>
      <c r="E24" s="183" t="s">
        <v>120</v>
      </c>
      <c r="F24" s="250" t="s">
        <v>145</v>
      </c>
      <c r="G24" s="249" t="s">
        <v>48</v>
      </c>
      <c r="H24" s="189">
        <v>0.88</v>
      </c>
      <c r="I24" s="243" t="s">
        <v>143</v>
      </c>
      <c r="J24" s="251">
        <v>2130000</v>
      </c>
      <c r="K24" s="251">
        <f>ROUNDDOWN(J24*M24,2)</f>
        <v>1065000</v>
      </c>
      <c r="L24" s="252">
        <f t="shared" si="6"/>
        <v>1065000</v>
      </c>
      <c r="M24" s="164">
        <v>0.5</v>
      </c>
      <c r="N24" s="253">
        <v>0</v>
      </c>
      <c r="O24" s="253">
        <v>0</v>
      </c>
      <c r="P24" s="263">
        <v>0</v>
      </c>
      <c r="Q24" s="263">
        <f>80000*M24</f>
        <v>40000</v>
      </c>
      <c r="R24" s="263">
        <f>1000000*M24</f>
        <v>500000</v>
      </c>
      <c r="S24" s="263">
        <f>1050000*M24</f>
        <v>525000</v>
      </c>
      <c r="T24" s="212"/>
      <c r="U24" s="212"/>
      <c r="V24" s="212"/>
      <c r="W24" s="162"/>
      <c r="X24" s="137" t="b">
        <f t="shared" si="0"/>
        <v>1</v>
      </c>
      <c r="Y24" s="179">
        <f t="shared" si="1"/>
        <v>0.5</v>
      </c>
      <c r="Z24" s="180" t="b">
        <f t="shared" si="2"/>
        <v>1</v>
      </c>
      <c r="AA24" s="180" t="b">
        <f t="shared" si="3"/>
        <v>1</v>
      </c>
    </row>
    <row r="25" spans="1:28" ht="36.75" customHeight="1">
      <c r="A25" s="243">
        <v>23</v>
      </c>
      <c r="B25" s="243">
        <v>425</v>
      </c>
      <c r="C25" s="243" t="s">
        <v>45</v>
      </c>
      <c r="D25" s="243" t="s">
        <v>513</v>
      </c>
      <c r="E25" s="183" t="s">
        <v>131</v>
      </c>
      <c r="F25" s="250" t="s">
        <v>146</v>
      </c>
      <c r="G25" s="246" t="s">
        <v>49</v>
      </c>
      <c r="H25" s="247">
        <v>0.373</v>
      </c>
      <c r="I25" s="262" t="s">
        <v>514</v>
      </c>
      <c r="J25" s="252">
        <v>4963174.2300000004</v>
      </c>
      <c r="K25" s="251">
        <v>2456434.5299999998</v>
      </c>
      <c r="L25" s="252">
        <f t="shared" si="6"/>
        <v>2506739.7000000007</v>
      </c>
      <c r="M25" s="164">
        <f>K25/J25</f>
        <v>0.49493215755998143</v>
      </c>
      <c r="N25" s="253">
        <v>0</v>
      </c>
      <c r="O25" s="253">
        <v>0</v>
      </c>
      <c r="P25" s="263">
        <v>0</v>
      </c>
      <c r="Q25" s="263">
        <v>901838.43999999971</v>
      </c>
      <c r="R25" s="263">
        <v>1554596.09</v>
      </c>
      <c r="S25" s="263"/>
      <c r="T25" s="212"/>
      <c r="U25" s="212"/>
      <c r="V25" s="212"/>
      <c r="W25" s="162"/>
      <c r="X25" s="137" t="b">
        <f t="shared" si="0"/>
        <v>1</v>
      </c>
      <c r="Y25" s="179">
        <f t="shared" si="1"/>
        <v>0.49490000000000001</v>
      </c>
      <c r="Z25" s="180" t="b">
        <f t="shared" si="2"/>
        <v>0</v>
      </c>
      <c r="AA25" s="180" t="b">
        <f t="shared" si="3"/>
        <v>1</v>
      </c>
    </row>
    <row r="26" spans="1:28" ht="44.25" customHeight="1">
      <c r="A26" s="243">
        <v>24</v>
      </c>
      <c r="B26" s="243">
        <v>10</v>
      </c>
      <c r="C26" s="243" t="s">
        <v>45</v>
      </c>
      <c r="D26" s="243" t="s">
        <v>232</v>
      </c>
      <c r="E26" s="183" t="s">
        <v>149</v>
      </c>
      <c r="F26" s="250" t="s">
        <v>101</v>
      </c>
      <c r="G26" s="243" t="s">
        <v>63</v>
      </c>
      <c r="H26" s="247">
        <v>2.8</v>
      </c>
      <c r="I26" s="243" t="s">
        <v>233</v>
      </c>
      <c r="J26" s="252">
        <v>3819415</v>
      </c>
      <c r="K26" s="251">
        <f>ROUNDDOWN(J26*M26,2)</f>
        <v>2673590.5</v>
      </c>
      <c r="L26" s="252">
        <f t="shared" si="6"/>
        <v>1145824.5</v>
      </c>
      <c r="M26" s="164">
        <v>0.7</v>
      </c>
      <c r="N26" s="253">
        <v>0</v>
      </c>
      <c r="O26" s="253">
        <v>0</v>
      </c>
      <c r="P26" s="263">
        <v>0</v>
      </c>
      <c r="Q26" s="263">
        <v>1755461.9</v>
      </c>
      <c r="R26" s="263">
        <f>K26-Q26</f>
        <v>918128.60000000009</v>
      </c>
      <c r="S26" s="263"/>
      <c r="T26" s="212"/>
      <c r="U26" s="212"/>
      <c r="V26" s="212"/>
      <c r="W26" s="162"/>
      <c r="X26" s="137" t="b">
        <f t="shared" si="0"/>
        <v>1</v>
      </c>
      <c r="Y26" s="179">
        <f t="shared" si="1"/>
        <v>0.7</v>
      </c>
      <c r="Z26" s="180" t="b">
        <f t="shared" si="2"/>
        <v>1</v>
      </c>
      <c r="AA26" s="180" t="b">
        <f t="shared" si="3"/>
        <v>1</v>
      </c>
    </row>
    <row r="27" spans="1:28" ht="36.75" customHeight="1">
      <c r="A27" s="243">
        <v>25</v>
      </c>
      <c r="B27" s="243">
        <v>114</v>
      </c>
      <c r="C27" s="243" t="s">
        <v>45</v>
      </c>
      <c r="D27" s="243" t="s">
        <v>47</v>
      </c>
      <c r="E27" s="183" t="s">
        <v>76</v>
      </c>
      <c r="F27" s="250" t="s">
        <v>150</v>
      </c>
      <c r="G27" s="246" t="s">
        <v>49</v>
      </c>
      <c r="H27" s="247">
        <v>1.3959999999999999</v>
      </c>
      <c r="I27" s="262" t="s">
        <v>132</v>
      </c>
      <c r="J27" s="252">
        <v>8500000</v>
      </c>
      <c r="K27" s="251">
        <v>4250000</v>
      </c>
      <c r="L27" s="252">
        <v>4250000</v>
      </c>
      <c r="M27" s="164">
        <v>0.5</v>
      </c>
      <c r="N27" s="253">
        <v>0</v>
      </c>
      <c r="O27" s="253">
        <v>0</v>
      </c>
      <c r="P27" s="263">
        <v>0</v>
      </c>
      <c r="Q27" s="263">
        <v>1750000</v>
      </c>
      <c r="R27" s="263">
        <v>2500000</v>
      </c>
      <c r="S27" s="263"/>
      <c r="T27" s="212"/>
      <c r="U27" s="212"/>
      <c r="V27" s="212"/>
      <c r="W27" s="162"/>
      <c r="X27" s="137" t="b">
        <f t="shared" si="0"/>
        <v>1</v>
      </c>
      <c r="Y27" s="179">
        <f t="shared" si="1"/>
        <v>0.5</v>
      </c>
      <c r="Z27" s="180" t="b">
        <f t="shared" si="2"/>
        <v>1</v>
      </c>
      <c r="AA27" s="180" t="b">
        <f t="shared" si="3"/>
        <v>1</v>
      </c>
    </row>
    <row r="28" spans="1:28" ht="36.75" customHeight="1">
      <c r="A28" s="243">
        <v>26</v>
      </c>
      <c r="B28" s="243">
        <v>4</v>
      </c>
      <c r="C28" s="243" t="s">
        <v>45</v>
      </c>
      <c r="D28" s="243" t="s">
        <v>148</v>
      </c>
      <c r="E28" s="183" t="s">
        <v>149</v>
      </c>
      <c r="F28" s="250" t="s">
        <v>158</v>
      </c>
      <c r="G28" s="243" t="s">
        <v>63</v>
      </c>
      <c r="H28" s="247">
        <v>4.6100000000000003</v>
      </c>
      <c r="I28" s="243" t="s">
        <v>138</v>
      </c>
      <c r="J28" s="252">
        <v>5100000</v>
      </c>
      <c r="K28" s="251">
        <f>ROUNDDOWN(J28*M28,2)</f>
        <v>4080000</v>
      </c>
      <c r="L28" s="252">
        <f>J28-K28</f>
        <v>1020000</v>
      </c>
      <c r="M28" s="164">
        <v>0.8</v>
      </c>
      <c r="N28" s="253">
        <v>0</v>
      </c>
      <c r="O28" s="253">
        <v>0</v>
      </c>
      <c r="P28" s="263">
        <v>0</v>
      </c>
      <c r="Q28" s="263">
        <f>K28-R28</f>
        <v>1780000</v>
      </c>
      <c r="R28" s="263">
        <f>2300000</f>
        <v>2300000</v>
      </c>
      <c r="S28" s="163"/>
      <c r="T28" s="212"/>
      <c r="U28" s="212"/>
      <c r="V28" s="212"/>
      <c r="W28" s="162"/>
      <c r="X28" s="137" t="b">
        <f t="shared" si="0"/>
        <v>1</v>
      </c>
      <c r="Y28" s="179">
        <f t="shared" si="1"/>
        <v>0.8</v>
      </c>
      <c r="Z28" s="180" t="b">
        <f t="shared" si="2"/>
        <v>1</v>
      </c>
      <c r="AA28" s="180" t="b">
        <f t="shared" si="3"/>
        <v>1</v>
      </c>
    </row>
    <row r="29" spans="1:28" ht="25.5">
      <c r="A29" s="243">
        <v>27</v>
      </c>
      <c r="B29" s="243">
        <v>328</v>
      </c>
      <c r="C29" s="243" t="s">
        <v>45</v>
      </c>
      <c r="D29" s="243" t="s">
        <v>119</v>
      </c>
      <c r="E29" s="183" t="s">
        <v>74</v>
      </c>
      <c r="F29" s="250" t="s">
        <v>151</v>
      </c>
      <c r="G29" s="246" t="s">
        <v>48</v>
      </c>
      <c r="H29" s="247">
        <v>2.0310000000000001</v>
      </c>
      <c r="I29" s="262" t="s">
        <v>152</v>
      </c>
      <c r="J29" s="252">
        <v>2000000</v>
      </c>
      <c r="K29" s="251">
        <f>ROUNDDOWN(J29*M29,2)</f>
        <v>1000000</v>
      </c>
      <c r="L29" s="252">
        <f>J29-K29</f>
        <v>1000000</v>
      </c>
      <c r="M29" s="164">
        <v>0.5</v>
      </c>
      <c r="N29" s="253">
        <v>0</v>
      </c>
      <c r="O29" s="253">
        <v>0</v>
      </c>
      <c r="P29" s="263">
        <v>0</v>
      </c>
      <c r="Q29" s="263">
        <f>68000*M29</f>
        <v>34000</v>
      </c>
      <c r="R29" s="263">
        <f>(1932000*M29)</f>
        <v>966000</v>
      </c>
      <c r="S29" s="213"/>
      <c r="T29" s="213"/>
      <c r="U29" s="213"/>
      <c r="V29" s="213"/>
      <c r="W29" s="213"/>
      <c r="X29" s="137" t="b">
        <f t="shared" si="0"/>
        <v>1</v>
      </c>
      <c r="Y29" s="179">
        <f t="shared" si="1"/>
        <v>0.5</v>
      </c>
      <c r="Z29" s="180" t="b">
        <f t="shared" si="2"/>
        <v>1</v>
      </c>
      <c r="AA29" s="180" t="b">
        <f t="shared" si="3"/>
        <v>1</v>
      </c>
    </row>
    <row r="30" spans="1:28" ht="25.5">
      <c r="A30" s="243">
        <v>28</v>
      </c>
      <c r="B30" s="243">
        <v>107</v>
      </c>
      <c r="C30" s="243" t="s">
        <v>45</v>
      </c>
      <c r="D30" s="243" t="s">
        <v>47</v>
      </c>
      <c r="E30" s="183" t="s">
        <v>76</v>
      </c>
      <c r="F30" s="250" t="s">
        <v>515</v>
      </c>
      <c r="G30" s="246" t="s">
        <v>48</v>
      </c>
      <c r="H30" s="247">
        <v>1.6759999999999999</v>
      </c>
      <c r="I30" s="262" t="s">
        <v>154</v>
      </c>
      <c r="J30" s="252">
        <v>6062000</v>
      </c>
      <c r="K30" s="251">
        <f>ROUNDDOWN(J30*M30,2)</f>
        <v>3031000</v>
      </c>
      <c r="L30" s="252">
        <f>J30-K30</f>
        <v>3031000</v>
      </c>
      <c r="M30" s="164">
        <v>0.5</v>
      </c>
      <c r="N30" s="253">
        <v>0</v>
      </c>
      <c r="O30" s="253">
        <v>0</v>
      </c>
      <c r="P30" s="263">
        <v>0</v>
      </c>
      <c r="Q30" s="263">
        <f>1500000*M30</f>
        <v>750000</v>
      </c>
      <c r="R30" s="263">
        <f>(2562000*M30)</f>
        <v>1281000</v>
      </c>
      <c r="S30" s="263">
        <f>(2000000*M30)</f>
        <v>1000000</v>
      </c>
      <c r="T30" s="213"/>
      <c r="U30" s="213"/>
      <c r="V30" s="213"/>
      <c r="W30" s="213"/>
      <c r="X30" s="137" t="b">
        <f t="shared" si="0"/>
        <v>1</v>
      </c>
      <c r="Y30" s="179">
        <f t="shared" si="1"/>
        <v>0.5</v>
      </c>
      <c r="Z30" s="180" t="b">
        <f t="shared" si="2"/>
        <v>1</v>
      </c>
      <c r="AA30" s="180" t="b">
        <f t="shared" si="3"/>
        <v>1</v>
      </c>
    </row>
    <row r="31" spans="1:28" ht="36.75" customHeight="1">
      <c r="A31" s="243">
        <v>29</v>
      </c>
      <c r="B31" s="243">
        <v>35</v>
      </c>
      <c r="C31" s="243" t="s">
        <v>61</v>
      </c>
      <c r="D31" s="243" t="s">
        <v>79</v>
      </c>
      <c r="E31" s="218">
        <v>2010000</v>
      </c>
      <c r="F31" s="245" t="s">
        <v>260</v>
      </c>
      <c r="G31" s="246" t="s">
        <v>48</v>
      </c>
      <c r="H31" s="247">
        <v>4.2359999999999998</v>
      </c>
      <c r="I31" s="244" t="s">
        <v>261</v>
      </c>
      <c r="J31" s="252">
        <v>9413294</v>
      </c>
      <c r="K31" s="223">
        <f t="shared" ref="K31:K61" si="7">ROUNDDOWN(J31*M31,2)</f>
        <v>5647976.4000000004</v>
      </c>
      <c r="L31" s="252">
        <f t="shared" ref="L31:L61" si="8">J31-K31</f>
        <v>3765317.5999999996</v>
      </c>
      <c r="M31" s="164">
        <v>0.6</v>
      </c>
      <c r="N31" s="253">
        <v>0</v>
      </c>
      <c r="O31" s="253">
        <v>0</v>
      </c>
      <c r="P31" s="235">
        <v>0</v>
      </c>
      <c r="Q31" s="263">
        <v>0</v>
      </c>
      <c r="R31" s="263">
        <f>3766517*M31</f>
        <v>2259910.1999999997</v>
      </c>
      <c r="S31" s="253">
        <f>5646777*M31</f>
        <v>3388066.1999999997</v>
      </c>
      <c r="T31" s="260"/>
      <c r="U31" s="162"/>
      <c r="V31" s="162"/>
      <c r="W31" s="162"/>
      <c r="X31" s="137" t="b">
        <f t="shared" si="0"/>
        <v>1</v>
      </c>
      <c r="Y31" s="179">
        <f t="shared" si="1"/>
        <v>0.6</v>
      </c>
      <c r="Z31" s="180" t="b">
        <f t="shared" si="2"/>
        <v>1</v>
      </c>
      <c r="AA31" s="180" t="b">
        <f t="shared" si="3"/>
        <v>1</v>
      </c>
    </row>
    <row r="32" spans="1:28" s="31" customFormat="1" ht="49.5" customHeight="1">
      <c r="A32" s="243">
        <v>30</v>
      </c>
      <c r="B32" s="243">
        <v>268</v>
      </c>
      <c r="C32" s="243" t="s">
        <v>61</v>
      </c>
      <c r="D32" s="243" t="s">
        <v>47</v>
      </c>
      <c r="E32" s="218">
        <v>2002000</v>
      </c>
      <c r="F32" s="250" t="s">
        <v>273</v>
      </c>
      <c r="G32" s="246" t="s">
        <v>48</v>
      </c>
      <c r="H32" s="247">
        <v>3.85</v>
      </c>
      <c r="I32" s="262" t="s">
        <v>274</v>
      </c>
      <c r="J32" s="252">
        <v>7072500</v>
      </c>
      <c r="K32" s="251">
        <f t="shared" si="7"/>
        <v>4243500</v>
      </c>
      <c r="L32" s="252">
        <f t="shared" si="8"/>
        <v>2829000</v>
      </c>
      <c r="M32" s="164">
        <v>0.6</v>
      </c>
      <c r="N32" s="253">
        <v>0</v>
      </c>
      <c r="O32" s="253">
        <v>0</v>
      </c>
      <c r="P32" s="235">
        <v>0</v>
      </c>
      <c r="Q32" s="263">
        <v>0</v>
      </c>
      <c r="R32" s="263">
        <f>2072500*M32</f>
        <v>1243500</v>
      </c>
      <c r="S32" s="253">
        <f>5000000*M32</f>
        <v>3000000</v>
      </c>
      <c r="T32" s="263"/>
      <c r="U32" s="162"/>
      <c r="V32" s="162"/>
      <c r="W32" s="162"/>
      <c r="X32" s="137" t="b">
        <f t="shared" si="0"/>
        <v>1</v>
      </c>
      <c r="Y32" s="179">
        <f t="shared" si="1"/>
        <v>0.6</v>
      </c>
      <c r="Z32" s="180" t="b">
        <f t="shared" si="2"/>
        <v>1</v>
      </c>
      <c r="AA32" s="180" t="b">
        <f t="shared" si="3"/>
        <v>1</v>
      </c>
      <c r="AB32" s="3"/>
    </row>
    <row r="33" spans="1:28" s="31" customFormat="1" ht="36.75" customHeight="1">
      <c r="A33" s="243">
        <v>31</v>
      </c>
      <c r="B33" s="243">
        <v>107</v>
      </c>
      <c r="C33" s="243" t="s">
        <v>61</v>
      </c>
      <c r="D33" s="243" t="s">
        <v>72</v>
      </c>
      <c r="E33" s="218">
        <v>2007000</v>
      </c>
      <c r="F33" s="250" t="s">
        <v>264</v>
      </c>
      <c r="G33" s="246" t="s">
        <v>49</v>
      </c>
      <c r="H33" s="247">
        <v>3.2</v>
      </c>
      <c r="I33" s="262" t="s">
        <v>265</v>
      </c>
      <c r="J33" s="252">
        <v>13130000</v>
      </c>
      <c r="K33" s="251">
        <f t="shared" si="7"/>
        <v>7878000</v>
      </c>
      <c r="L33" s="252">
        <f t="shared" si="8"/>
        <v>5252000</v>
      </c>
      <c r="M33" s="256">
        <v>0.6</v>
      </c>
      <c r="N33" s="253">
        <v>0</v>
      </c>
      <c r="O33" s="253">
        <v>0</v>
      </c>
      <c r="P33" s="235">
        <v>0</v>
      </c>
      <c r="Q33" s="263">
        <v>0</v>
      </c>
      <c r="R33" s="253">
        <f>8000000*M33</f>
        <v>4800000</v>
      </c>
      <c r="S33" s="253">
        <f>5130000*M33</f>
        <v>3078000</v>
      </c>
      <c r="T33" s="263"/>
      <c r="U33" s="162"/>
      <c r="V33" s="162"/>
      <c r="W33" s="162"/>
      <c r="X33" s="137" t="b">
        <f t="shared" si="0"/>
        <v>1</v>
      </c>
      <c r="Y33" s="179">
        <f t="shared" si="1"/>
        <v>0.6</v>
      </c>
      <c r="Z33" s="180" t="b">
        <f t="shared" si="2"/>
        <v>1</v>
      </c>
      <c r="AA33" s="180" t="b">
        <f t="shared" si="3"/>
        <v>1</v>
      </c>
      <c r="AB33" s="3"/>
    </row>
    <row r="34" spans="1:28" s="31" customFormat="1" ht="37.5" customHeight="1">
      <c r="A34" s="185">
        <v>32</v>
      </c>
      <c r="B34" s="185">
        <v>319</v>
      </c>
      <c r="C34" s="185" t="s">
        <v>73</v>
      </c>
      <c r="D34" s="185" t="s">
        <v>453</v>
      </c>
      <c r="E34" s="217">
        <v>2009000</v>
      </c>
      <c r="F34" s="210" t="s">
        <v>456</v>
      </c>
      <c r="G34" s="182" t="s">
        <v>49</v>
      </c>
      <c r="H34" s="187">
        <v>2.1</v>
      </c>
      <c r="I34" s="211" t="s">
        <v>267</v>
      </c>
      <c r="J34" s="192">
        <v>2022500</v>
      </c>
      <c r="K34" s="206">
        <f t="shared" si="7"/>
        <v>1213500</v>
      </c>
      <c r="L34" s="192">
        <f t="shared" si="8"/>
        <v>809000</v>
      </c>
      <c r="M34" s="166">
        <v>0.6</v>
      </c>
      <c r="N34" s="199">
        <v>0</v>
      </c>
      <c r="O34" s="199">
        <v>0</v>
      </c>
      <c r="P34" s="162">
        <v>0</v>
      </c>
      <c r="Q34" s="162">
        <v>0</v>
      </c>
      <c r="R34" s="162">
        <f>K34</f>
        <v>1213500</v>
      </c>
      <c r="S34" s="162"/>
      <c r="T34" s="162"/>
      <c r="U34" s="162"/>
      <c r="V34" s="162"/>
      <c r="W34" s="162"/>
      <c r="X34" s="137" t="b">
        <f t="shared" si="0"/>
        <v>1</v>
      </c>
      <c r="Y34" s="179">
        <f t="shared" si="1"/>
        <v>0.6</v>
      </c>
      <c r="Z34" s="180" t="b">
        <f t="shared" si="2"/>
        <v>1</v>
      </c>
      <c r="AA34" s="180" t="b">
        <f t="shared" si="3"/>
        <v>1</v>
      </c>
      <c r="AB34" s="32"/>
    </row>
    <row r="35" spans="1:28" s="31" customFormat="1" ht="37.5" customHeight="1">
      <c r="A35" s="185">
        <v>33</v>
      </c>
      <c r="B35" s="241">
        <v>40</v>
      </c>
      <c r="C35" s="185" t="s">
        <v>73</v>
      </c>
      <c r="D35" s="241" t="s">
        <v>85</v>
      </c>
      <c r="E35" s="217">
        <v>2012000</v>
      </c>
      <c r="F35" s="229" t="s">
        <v>435</v>
      </c>
      <c r="G35" s="230" t="s">
        <v>49</v>
      </c>
      <c r="H35" s="231">
        <v>2.2490000000000001</v>
      </c>
      <c r="I35" s="232" t="s">
        <v>263</v>
      </c>
      <c r="J35" s="227">
        <v>11501000</v>
      </c>
      <c r="K35" s="206">
        <f t="shared" si="7"/>
        <v>6900600</v>
      </c>
      <c r="L35" s="192">
        <f t="shared" si="8"/>
        <v>4600400</v>
      </c>
      <c r="M35" s="166">
        <v>0.6</v>
      </c>
      <c r="N35" s="199">
        <v>0</v>
      </c>
      <c r="O35" s="199">
        <v>0</v>
      </c>
      <c r="P35" s="162">
        <v>0</v>
      </c>
      <c r="Q35" s="162">
        <v>0</v>
      </c>
      <c r="R35" s="162">
        <f>K35</f>
        <v>6900600</v>
      </c>
      <c r="S35" s="162"/>
      <c r="T35" s="162"/>
      <c r="U35" s="162"/>
      <c r="V35" s="162"/>
      <c r="W35" s="162"/>
      <c r="X35" s="137" t="b">
        <f t="shared" si="0"/>
        <v>1</v>
      </c>
      <c r="Y35" s="179">
        <f t="shared" si="1"/>
        <v>0.6</v>
      </c>
      <c r="Z35" s="180" t="b">
        <f t="shared" si="2"/>
        <v>1</v>
      </c>
      <c r="AA35" s="180" t="b">
        <f t="shared" si="3"/>
        <v>1</v>
      </c>
      <c r="AB35" s="32"/>
    </row>
    <row r="36" spans="1:28" s="31" customFormat="1" ht="37.5" customHeight="1">
      <c r="A36" s="185">
        <v>34</v>
      </c>
      <c r="B36" s="185">
        <v>106</v>
      </c>
      <c r="C36" s="185" t="s">
        <v>73</v>
      </c>
      <c r="D36" s="185" t="s">
        <v>72</v>
      </c>
      <c r="E36" s="217">
        <v>2007000</v>
      </c>
      <c r="F36" s="210" t="s">
        <v>442</v>
      </c>
      <c r="G36" s="182" t="s">
        <v>49</v>
      </c>
      <c r="H36" s="187">
        <v>2.08</v>
      </c>
      <c r="I36" s="211" t="s">
        <v>282</v>
      </c>
      <c r="J36" s="192">
        <v>4800000</v>
      </c>
      <c r="K36" s="206">
        <f t="shared" si="7"/>
        <v>2880000</v>
      </c>
      <c r="L36" s="192">
        <f t="shared" si="8"/>
        <v>1920000</v>
      </c>
      <c r="M36" s="166">
        <v>0.6</v>
      </c>
      <c r="N36" s="199">
        <v>0</v>
      </c>
      <c r="O36" s="199">
        <v>0</v>
      </c>
      <c r="P36" s="162">
        <v>0</v>
      </c>
      <c r="Q36" s="162">
        <v>0</v>
      </c>
      <c r="R36" s="162">
        <f>K36</f>
        <v>2880000</v>
      </c>
      <c r="S36" s="162"/>
      <c r="T36" s="162"/>
      <c r="U36" s="162"/>
      <c r="V36" s="162"/>
      <c r="W36" s="162"/>
      <c r="X36" s="137" t="b">
        <f t="shared" si="0"/>
        <v>1</v>
      </c>
      <c r="Y36" s="179">
        <f t="shared" si="1"/>
        <v>0.6</v>
      </c>
      <c r="Z36" s="180" t="b">
        <f t="shared" si="2"/>
        <v>1</v>
      </c>
      <c r="AA36" s="180" t="b">
        <f t="shared" si="3"/>
        <v>1</v>
      </c>
      <c r="AB36" s="32"/>
    </row>
    <row r="37" spans="1:28" s="31" customFormat="1" ht="36.75" customHeight="1">
      <c r="A37" s="243">
        <v>35</v>
      </c>
      <c r="B37" s="243">
        <v>153</v>
      </c>
      <c r="C37" s="243" t="s">
        <v>61</v>
      </c>
      <c r="D37" s="243" t="s">
        <v>139</v>
      </c>
      <c r="E37" s="219">
        <v>2004000</v>
      </c>
      <c r="F37" s="250" t="s">
        <v>156</v>
      </c>
      <c r="G37" s="246" t="s">
        <v>48</v>
      </c>
      <c r="H37" s="247">
        <v>1.7110000000000001</v>
      </c>
      <c r="I37" s="262" t="s">
        <v>268</v>
      </c>
      <c r="J37" s="252">
        <v>4996000</v>
      </c>
      <c r="K37" s="251">
        <f t="shared" si="7"/>
        <v>2997600</v>
      </c>
      <c r="L37" s="252">
        <f t="shared" si="8"/>
        <v>1998400</v>
      </c>
      <c r="M37" s="164">
        <v>0.6</v>
      </c>
      <c r="N37" s="253">
        <v>0</v>
      </c>
      <c r="O37" s="253">
        <v>0</v>
      </c>
      <c r="P37" s="235">
        <v>0</v>
      </c>
      <c r="Q37" s="263">
        <v>0</v>
      </c>
      <c r="R37" s="253">
        <f>6000*M37</f>
        <v>3600</v>
      </c>
      <c r="S37" s="253">
        <f>1750000*M37</f>
        <v>1050000</v>
      </c>
      <c r="T37" s="253">
        <f>3240000*M37</f>
        <v>1944000</v>
      </c>
      <c r="U37" s="162"/>
      <c r="V37" s="162"/>
      <c r="W37" s="162"/>
      <c r="X37" s="137" t="b">
        <f t="shared" si="0"/>
        <v>1</v>
      </c>
      <c r="Y37" s="179">
        <f t="shared" si="1"/>
        <v>0.6</v>
      </c>
      <c r="Z37" s="180" t="b">
        <f t="shared" si="2"/>
        <v>1</v>
      </c>
      <c r="AA37" s="180" t="b">
        <f t="shared" si="3"/>
        <v>1</v>
      </c>
      <c r="AB37" s="3"/>
    </row>
    <row r="38" spans="1:28" s="31" customFormat="1" ht="36.75" customHeight="1">
      <c r="A38" s="185">
        <v>36</v>
      </c>
      <c r="B38" s="241">
        <v>16</v>
      </c>
      <c r="C38" s="185" t="s">
        <v>73</v>
      </c>
      <c r="D38" s="241" t="s">
        <v>77</v>
      </c>
      <c r="E38" s="217">
        <v>2006000</v>
      </c>
      <c r="F38" s="234" t="s">
        <v>257</v>
      </c>
      <c r="G38" s="230" t="s">
        <v>49</v>
      </c>
      <c r="H38" s="231">
        <v>1.62</v>
      </c>
      <c r="I38" s="241" t="s">
        <v>258</v>
      </c>
      <c r="J38" s="227">
        <v>6744049.3700000001</v>
      </c>
      <c r="K38" s="206">
        <f t="shared" si="7"/>
        <v>4046429.62</v>
      </c>
      <c r="L38" s="192">
        <f t="shared" si="8"/>
        <v>2697619.75</v>
      </c>
      <c r="M38" s="166">
        <v>0.6</v>
      </c>
      <c r="N38" s="199">
        <v>0</v>
      </c>
      <c r="O38" s="199">
        <v>0</v>
      </c>
      <c r="P38" s="215">
        <v>0</v>
      </c>
      <c r="Q38" s="162">
        <v>0</v>
      </c>
      <c r="R38" s="199">
        <f>K38</f>
        <v>4046429.62</v>
      </c>
      <c r="S38" s="162"/>
      <c r="T38" s="162"/>
      <c r="U38" s="162"/>
      <c r="V38" s="162"/>
      <c r="W38" s="162"/>
      <c r="X38" s="137" t="b">
        <f t="shared" si="0"/>
        <v>1</v>
      </c>
      <c r="Y38" s="179">
        <f t="shared" si="1"/>
        <v>0.6</v>
      </c>
      <c r="Z38" s="180" t="b">
        <f t="shared" si="2"/>
        <v>1</v>
      </c>
      <c r="AA38" s="180" t="b">
        <f t="shared" si="3"/>
        <v>1</v>
      </c>
      <c r="AB38" s="3"/>
    </row>
    <row r="39" spans="1:28" s="31" customFormat="1" ht="37.5" customHeight="1">
      <c r="A39" s="243">
        <v>37</v>
      </c>
      <c r="B39" s="243">
        <v>245</v>
      </c>
      <c r="C39" s="243" t="s">
        <v>61</v>
      </c>
      <c r="D39" s="243" t="s">
        <v>47</v>
      </c>
      <c r="E39" s="218">
        <v>2002000</v>
      </c>
      <c r="F39" s="245" t="s">
        <v>443</v>
      </c>
      <c r="G39" s="246" t="s">
        <v>48</v>
      </c>
      <c r="H39" s="247">
        <v>1.3120000000000001</v>
      </c>
      <c r="I39" s="261" t="s">
        <v>274</v>
      </c>
      <c r="J39" s="252">
        <v>4547500</v>
      </c>
      <c r="K39" s="251">
        <f t="shared" si="7"/>
        <v>2728500</v>
      </c>
      <c r="L39" s="252">
        <f t="shared" si="8"/>
        <v>1819000</v>
      </c>
      <c r="M39" s="164">
        <v>0.6</v>
      </c>
      <c r="N39" s="253">
        <v>0</v>
      </c>
      <c r="O39" s="253">
        <v>0</v>
      </c>
      <c r="P39" s="263">
        <v>0</v>
      </c>
      <c r="Q39" s="263">
        <v>0</v>
      </c>
      <c r="R39" s="253">
        <f>2000000*M39</f>
        <v>1200000</v>
      </c>
      <c r="S39" s="253">
        <f>2547500*M39</f>
        <v>1528500</v>
      </c>
      <c r="T39" s="162"/>
      <c r="U39" s="162"/>
      <c r="V39" s="162"/>
      <c r="W39" s="162"/>
      <c r="X39" s="137" t="b">
        <f t="shared" si="0"/>
        <v>1</v>
      </c>
      <c r="Y39" s="179">
        <f t="shared" si="1"/>
        <v>0.6</v>
      </c>
      <c r="Z39" s="180" t="b">
        <f t="shared" si="2"/>
        <v>1</v>
      </c>
      <c r="AA39" s="180" t="b">
        <f t="shared" si="3"/>
        <v>1</v>
      </c>
      <c r="AB39" s="32"/>
    </row>
    <row r="40" spans="1:28" s="31" customFormat="1" ht="36.75" customHeight="1">
      <c r="A40" s="243">
        <v>38</v>
      </c>
      <c r="B40" s="243">
        <v>182</v>
      </c>
      <c r="C40" s="243" t="s">
        <v>61</v>
      </c>
      <c r="D40" s="243" t="s">
        <v>62</v>
      </c>
      <c r="E40" s="218">
        <v>2011000</v>
      </c>
      <c r="F40" s="250" t="s">
        <v>271</v>
      </c>
      <c r="G40" s="246" t="s">
        <v>48</v>
      </c>
      <c r="H40" s="247">
        <v>1.1299999999999999</v>
      </c>
      <c r="I40" s="262" t="s">
        <v>272</v>
      </c>
      <c r="J40" s="252">
        <v>10000000</v>
      </c>
      <c r="K40" s="251">
        <f t="shared" si="7"/>
        <v>6000000</v>
      </c>
      <c r="L40" s="252">
        <f t="shared" si="8"/>
        <v>4000000</v>
      </c>
      <c r="M40" s="164">
        <v>0.6</v>
      </c>
      <c r="N40" s="253">
        <v>0</v>
      </c>
      <c r="O40" s="253">
        <v>0</v>
      </c>
      <c r="P40" s="235">
        <v>0</v>
      </c>
      <c r="Q40" s="263">
        <v>0</v>
      </c>
      <c r="R40" s="253">
        <f>20000*M40</f>
        <v>12000</v>
      </c>
      <c r="S40" s="253">
        <f>6000000*M40</f>
        <v>3600000</v>
      </c>
      <c r="T40" s="253">
        <f>3980000*M40</f>
        <v>2388000</v>
      </c>
      <c r="U40" s="162"/>
      <c r="V40" s="162"/>
      <c r="W40" s="162"/>
      <c r="X40" s="137" t="b">
        <f t="shared" si="0"/>
        <v>1</v>
      </c>
      <c r="Y40" s="179">
        <f t="shared" si="1"/>
        <v>0.6</v>
      </c>
      <c r="Z40" s="180" t="b">
        <f t="shared" si="2"/>
        <v>1</v>
      </c>
      <c r="AA40" s="180" t="b">
        <f t="shared" si="3"/>
        <v>1</v>
      </c>
      <c r="AB40" s="3"/>
    </row>
    <row r="41" spans="1:28" s="31" customFormat="1" ht="36.75" customHeight="1">
      <c r="A41" s="185">
        <v>39</v>
      </c>
      <c r="B41" s="241">
        <v>11</v>
      </c>
      <c r="C41" s="185" t="s">
        <v>73</v>
      </c>
      <c r="D41" s="241" t="s">
        <v>130</v>
      </c>
      <c r="E41" s="217">
        <v>2005000</v>
      </c>
      <c r="F41" s="234" t="s">
        <v>255</v>
      </c>
      <c r="G41" s="241" t="s">
        <v>49</v>
      </c>
      <c r="H41" s="231">
        <v>0.91</v>
      </c>
      <c r="I41" s="241" t="s">
        <v>256</v>
      </c>
      <c r="J41" s="227">
        <v>4440648.66</v>
      </c>
      <c r="K41" s="206">
        <f t="shared" si="7"/>
        <v>2664389.19</v>
      </c>
      <c r="L41" s="192">
        <f t="shared" si="8"/>
        <v>1776259.4700000002</v>
      </c>
      <c r="M41" s="258">
        <v>0.6</v>
      </c>
      <c r="N41" s="199">
        <v>0</v>
      </c>
      <c r="O41" s="199">
        <v>0</v>
      </c>
      <c r="P41" s="215">
        <v>0</v>
      </c>
      <c r="Q41" s="162">
        <v>0</v>
      </c>
      <c r="R41" s="199">
        <f>K41</f>
        <v>2664389.19</v>
      </c>
      <c r="S41" s="162"/>
      <c r="T41" s="162"/>
      <c r="U41" s="162"/>
      <c r="V41" s="162"/>
      <c r="W41" s="162"/>
      <c r="X41" s="137" t="b">
        <f t="shared" si="0"/>
        <v>1</v>
      </c>
      <c r="Y41" s="179">
        <f t="shared" si="1"/>
        <v>0.6</v>
      </c>
      <c r="Z41" s="180" t="b">
        <f t="shared" si="2"/>
        <v>1</v>
      </c>
      <c r="AA41" s="180" t="b">
        <f t="shared" si="3"/>
        <v>1</v>
      </c>
      <c r="AB41" s="3"/>
    </row>
    <row r="42" spans="1:28" s="31" customFormat="1" ht="36.75" customHeight="1">
      <c r="A42" s="185">
        <v>40</v>
      </c>
      <c r="B42" s="241">
        <v>38</v>
      </c>
      <c r="C42" s="185" t="s">
        <v>73</v>
      </c>
      <c r="D42" s="241" t="s">
        <v>85</v>
      </c>
      <c r="E42" s="217">
        <v>2012000</v>
      </c>
      <c r="F42" s="234" t="s">
        <v>262</v>
      </c>
      <c r="G42" s="230" t="s">
        <v>49</v>
      </c>
      <c r="H42" s="231">
        <v>0.90500000000000003</v>
      </c>
      <c r="I42" s="241" t="s">
        <v>263</v>
      </c>
      <c r="J42" s="227">
        <v>1901000</v>
      </c>
      <c r="K42" s="206">
        <f t="shared" si="7"/>
        <v>1140600</v>
      </c>
      <c r="L42" s="192">
        <f t="shared" si="8"/>
        <v>760400</v>
      </c>
      <c r="M42" s="166">
        <v>0.6</v>
      </c>
      <c r="N42" s="199">
        <v>0</v>
      </c>
      <c r="O42" s="199">
        <v>0</v>
      </c>
      <c r="P42" s="215">
        <v>0</v>
      </c>
      <c r="Q42" s="162">
        <v>0</v>
      </c>
      <c r="R42" s="162">
        <f>K42</f>
        <v>1140600</v>
      </c>
      <c r="S42" s="162"/>
      <c r="T42" s="162"/>
      <c r="U42" s="162"/>
      <c r="V42" s="162"/>
      <c r="W42" s="162"/>
      <c r="X42" s="137" t="b">
        <f t="shared" si="0"/>
        <v>1</v>
      </c>
      <c r="Y42" s="179">
        <f t="shared" si="1"/>
        <v>0.6</v>
      </c>
      <c r="Z42" s="180" t="b">
        <f t="shared" si="2"/>
        <v>1</v>
      </c>
      <c r="AA42" s="180" t="b">
        <f t="shared" si="3"/>
        <v>1</v>
      </c>
      <c r="AB42" s="3"/>
    </row>
    <row r="43" spans="1:28" s="31" customFormat="1" ht="36.75" customHeight="1">
      <c r="A43" s="185">
        <v>41</v>
      </c>
      <c r="B43" s="241">
        <v>164</v>
      </c>
      <c r="C43" s="185" t="s">
        <v>73</v>
      </c>
      <c r="D43" s="185" t="s">
        <v>81</v>
      </c>
      <c r="E43" s="217">
        <v>2003000</v>
      </c>
      <c r="F43" s="186" t="s">
        <v>159</v>
      </c>
      <c r="G43" s="182" t="s">
        <v>49</v>
      </c>
      <c r="H43" s="187">
        <v>0.88500000000000001</v>
      </c>
      <c r="I43" s="188" t="s">
        <v>269</v>
      </c>
      <c r="J43" s="192">
        <v>1884588.97</v>
      </c>
      <c r="K43" s="206">
        <f t="shared" si="7"/>
        <v>1130753.3799999999</v>
      </c>
      <c r="L43" s="192">
        <f t="shared" si="8"/>
        <v>753835.59000000008</v>
      </c>
      <c r="M43" s="166">
        <v>0.6</v>
      </c>
      <c r="N43" s="199">
        <v>0</v>
      </c>
      <c r="O43" s="199">
        <v>0</v>
      </c>
      <c r="P43" s="215">
        <v>0</v>
      </c>
      <c r="Q43" s="162">
        <v>0</v>
      </c>
      <c r="R43" s="162">
        <f>K43</f>
        <v>1130753.3799999999</v>
      </c>
      <c r="S43" s="162"/>
      <c r="T43" s="162"/>
      <c r="U43" s="162"/>
      <c r="V43" s="162"/>
      <c r="W43" s="162"/>
      <c r="X43" s="137" t="b">
        <f t="shared" si="0"/>
        <v>1</v>
      </c>
      <c r="Y43" s="179">
        <f t="shared" si="1"/>
        <v>0.6</v>
      </c>
      <c r="Z43" s="180" t="b">
        <f t="shared" si="2"/>
        <v>1</v>
      </c>
      <c r="AA43" s="180" t="b">
        <f t="shared" si="3"/>
        <v>1</v>
      </c>
      <c r="AB43" s="3"/>
    </row>
    <row r="44" spans="1:28" s="181" customFormat="1" ht="36" customHeight="1">
      <c r="A44" s="185">
        <v>42</v>
      </c>
      <c r="B44" s="196">
        <v>294</v>
      </c>
      <c r="C44" s="196" t="s">
        <v>73</v>
      </c>
      <c r="D44" s="185" t="s">
        <v>118</v>
      </c>
      <c r="E44" s="217">
        <v>2013000</v>
      </c>
      <c r="F44" s="186" t="s">
        <v>275</v>
      </c>
      <c r="G44" s="182" t="s">
        <v>48</v>
      </c>
      <c r="H44" s="187">
        <v>0.38900000000000001</v>
      </c>
      <c r="I44" s="188" t="s">
        <v>276</v>
      </c>
      <c r="J44" s="192">
        <v>7000000</v>
      </c>
      <c r="K44" s="206">
        <f>ROUNDDOWN(J44*M44,2)</f>
        <v>4900000</v>
      </c>
      <c r="L44" s="192">
        <f t="shared" si="8"/>
        <v>2100000</v>
      </c>
      <c r="M44" s="166">
        <v>0.7</v>
      </c>
      <c r="N44" s="199">
        <v>0</v>
      </c>
      <c r="O44" s="199">
        <v>0</v>
      </c>
      <c r="P44" s="215">
        <v>0</v>
      </c>
      <c r="Q44" s="162">
        <v>0</v>
      </c>
      <c r="R44" s="162">
        <f>K44</f>
        <v>4900000</v>
      </c>
      <c r="S44" s="162"/>
      <c r="T44" s="162"/>
      <c r="U44" s="162"/>
      <c r="V44" s="162"/>
      <c r="W44" s="162"/>
      <c r="X44" s="137" t="b">
        <f t="shared" si="0"/>
        <v>1</v>
      </c>
      <c r="Y44" s="179">
        <f t="shared" si="1"/>
        <v>0.7</v>
      </c>
      <c r="Z44" s="180" t="b">
        <f t="shared" si="2"/>
        <v>1</v>
      </c>
      <c r="AA44" s="180" t="b">
        <f t="shared" si="3"/>
        <v>1</v>
      </c>
      <c r="AB44" s="2"/>
    </row>
    <row r="45" spans="1:28" s="197" customFormat="1" ht="36.75" customHeight="1">
      <c r="A45" s="243">
        <v>43</v>
      </c>
      <c r="B45" s="243">
        <v>150</v>
      </c>
      <c r="C45" s="243" t="s">
        <v>61</v>
      </c>
      <c r="D45" s="243" t="s">
        <v>139</v>
      </c>
      <c r="E45" s="219">
        <v>2004000</v>
      </c>
      <c r="F45" s="250" t="s">
        <v>284</v>
      </c>
      <c r="G45" s="246" t="s">
        <v>48</v>
      </c>
      <c r="H45" s="247">
        <v>4.9260000000000002</v>
      </c>
      <c r="I45" s="262" t="s">
        <v>285</v>
      </c>
      <c r="J45" s="252">
        <v>14953000</v>
      </c>
      <c r="K45" s="251">
        <f t="shared" si="7"/>
        <v>8971800</v>
      </c>
      <c r="L45" s="252">
        <f t="shared" si="8"/>
        <v>5981200</v>
      </c>
      <c r="M45" s="164">
        <v>0.6</v>
      </c>
      <c r="N45" s="253">
        <v>0</v>
      </c>
      <c r="O45" s="253">
        <v>0</v>
      </c>
      <c r="P45" s="235">
        <v>0</v>
      </c>
      <c r="Q45" s="263">
        <v>0</v>
      </c>
      <c r="R45" s="253">
        <f>3000*M45</f>
        <v>1800</v>
      </c>
      <c r="S45" s="253">
        <f>4360000*M45</f>
        <v>2616000</v>
      </c>
      <c r="T45" s="253">
        <f>10590000*M45</f>
        <v>6354000</v>
      </c>
      <c r="U45" s="263"/>
      <c r="V45" s="263"/>
      <c r="W45" s="263"/>
      <c r="X45" s="137" t="b">
        <f t="shared" si="0"/>
        <v>1</v>
      </c>
      <c r="Y45" s="179">
        <f t="shared" si="1"/>
        <v>0.6</v>
      </c>
      <c r="Z45" s="180" t="b">
        <f t="shared" si="2"/>
        <v>1</v>
      </c>
      <c r="AA45" s="180" t="b">
        <f t="shared" si="3"/>
        <v>1</v>
      </c>
      <c r="AB45" s="201"/>
    </row>
    <row r="46" spans="1:28" s="172" customFormat="1" ht="36.75" customHeight="1">
      <c r="A46" s="185">
        <v>44</v>
      </c>
      <c r="B46" s="241">
        <v>179</v>
      </c>
      <c r="C46" s="185" t="s">
        <v>73</v>
      </c>
      <c r="D46" s="185" t="s">
        <v>119</v>
      </c>
      <c r="E46" s="217">
        <v>2004000</v>
      </c>
      <c r="F46" s="186" t="s">
        <v>283</v>
      </c>
      <c r="G46" s="182" t="s">
        <v>48</v>
      </c>
      <c r="H46" s="187">
        <v>3.1459999999999999</v>
      </c>
      <c r="I46" s="188" t="s">
        <v>267</v>
      </c>
      <c r="J46" s="192">
        <v>6500000</v>
      </c>
      <c r="K46" s="206">
        <f t="shared" si="7"/>
        <v>3900000</v>
      </c>
      <c r="L46" s="192">
        <f t="shared" si="8"/>
        <v>2600000</v>
      </c>
      <c r="M46" s="166">
        <v>0.6</v>
      </c>
      <c r="N46" s="199">
        <v>0</v>
      </c>
      <c r="O46" s="199">
        <v>0</v>
      </c>
      <c r="P46" s="215">
        <v>0</v>
      </c>
      <c r="Q46" s="162">
        <v>0</v>
      </c>
      <c r="R46" s="162">
        <f>K46</f>
        <v>3900000</v>
      </c>
      <c r="S46" s="267"/>
      <c r="T46" s="162"/>
      <c r="U46" s="162"/>
      <c r="V46" s="162"/>
      <c r="W46" s="162"/>
      <c r="X46" s="137" t="b">
        <f t="shared" si="0"/>
        <v>1</v>
      </c>
      <c r="Y46" s="179">
        <f t="shared" si="1"/>
        <v>0.6</v>
      </c>
      <c r="Z46" s="180" t="b">
        <f t="shared" si="2"/>
        <v>1</v>
      </c>
      <c r="AA46" s="180" t="b">
        <f t="shared" si="3"/>
        <v>1</v>
      </c>
      <c r="AB46" s="171"/>
    </row>
    <row r="47" spans="1:28" s="172" customFormat="1" ht="36.75" customHeight="1">
      <c r="A47" s="185">
        <v>45</v>
      </c>
      <c r="B47" s="185">
        <v>42</v>
      </c>
      <c r="C47" s="185" t="s">
        <v>73</v>
      </c>
      <c r="D47" s="241" t="s">
        <v>85</v>
      </c>
      <c r="E47" s="217">
        <v>2012000</v>
      </c>
      <c r="F47" s="234" t="s">
        <v>280</v>
      </c>
      <c r="G47" s="182" t="s">
        <v>49</v>
      </c>
      <c r="H47" s="187">
        <v>1.208</v>
      </c>
      <c r="I47" s="241" t="s">
        <v>263</v>
      </c>
      <c r="J47" s="192">
        <v>1741000</v>
      </c>
      <c r="K47" s="206">
        <f t="shared" si="7"/>
        <v>1044600</v>
      </c>
      <c r="L47" s="192">
        <f t="shared" si="8"/>
        <v>696400</v>
      </c>
      <c r="M47" s="166">
        <v>0.6</v>
      </c>
      <c r="N47" s="199">
        <v>0</v>
      </c>
      <c r="O47" s="199">
        <v>0</v>
      </c>
      <c r="P47" s="215">
        <v>0</v>
      </c>
      <c r="Q47" s="162">
        <v>0</v>
      </c>
      <c r="R47" s="162">
        <f>K47</f>
        <v>1044600</v>
      </c>
      <c r="S47" s="267"/>
      <c r="T47" s="162"/>
      <c r="U47" s="162"/>
      <c r="V47" s="162"/>
      <c r="W47" s="162"/>
      <c r="X47" s="137" t="b">
        <f t="shared" si="0"/>
        <v>1</v>
      </c>
      <c r="Y47" s="179">
        <f t="shared" si="1"/>
        <v>0.6</v>
      </c>
      <c r="Z47" s="180" t="b">
        <f t="shared" si="2"/>
        <v>1</v>
      </c>
      <c r="AA47" s="180" t="b">
        <f t="shared" si="3"/>
        <v>1</v>
      </c>
      <c r="AB47" s="171"/>
    </row>
    <row r="48" spans="1:28" s="172" customFormat="1" ht="36.75" customHeight="1">
      <c r="A48" s="185">
        <v>46</v>
      </c>
      <c r="B48" s="241">
        <v>37</v>
      </c>
      <c r="C48" s="185" t="s">
        <v>73</v>
      </c>
      <c r="D48" s="241" t="s">
        <v>79</v>
      </c>
      <c r="E48" s="217">
        <v>2010000</v>
      </c>
      <c r="F48" s="234" t="s">
        <v>278</v>
      </c>
      <c r="G48" s="230" t="s">
        <v>48</v>
      </c>
      <c r="H48" s="231">
        <v>1.1519999999999999</v>
      </c>
      <c r="I48" s="241" t="s">
        <v>279</v>
      </c>
      <c r="J48" s="227">
        <v>1234044</v>
      </c>
      <c r="K48" s="206">
        <f t="shared" si="7"/>
        <v>740426.4</v>
      </c>
      <c r="L48" s="192">
        <f t="shared" si="8"/>
        <v>493617.6</v>
      </c>
      <c r="M48" s="166">
        <v>0.6</v>
      </c>
      <c r="N48" s="199">
        <v>0</v>
      </c>
      <c r="O48" s="199">
        <v>0</v>
      </c>
      <c r="P48" s="215">
        <v>0</v>
      </c>
      <c r="Q48" s="162">
        <v>0</v>
      </c>
      <c r="R48" s="162">
        <f>K48</f>
        <v>740426.4</v>
      </c>
      <c r="S48" s="267"/>
      <c r="T48" s="162"/>
      <c r="U48" s="162"/>
      <c r="V48" s="162"/>
      <c r="W48" s="162"/>
      <c r="X48" s="137" t="b">
        <f t="shared" si="0"/>
        <v>1</v>
      </c>
      <c r="Y48" s="179">
        <f t="shared" si="1"/>
        <v>0.6</v>
      </c>
      <c r="Z48" s="180" t="b">
        <f t="shared" si="2"/>
        <v>1</v>
      </c>
      <c r="AA48" s="180" t="b">
        <f t="shared" si="3"/>
        <v>1</v>
      </c>
      <c r="AB48" s="171"/>
    </row>
    <row r="49" spans="1:28" s="172" customFormat="1" ht="36.75" customHeight="1">
      <c r="A49" s="243">
        <v>47</v>
      </c>
      <c r="B49" s="243">
        <v>183</v>
      </c>
      <c r="C49" s="243" t="s">
        <v>61</v>
      </c>
      <c r="D49" s="243" t="s">
        <v>62</v>
      </c>
      <c r="E49" s="218">
        <v>2011000</v>
      </c>
      <c r="F49" s="250" t="s">
        <v>511</v>
      </c>
      <c r="G49" s="246" t="s">
        <v>48</v>
      </c>
      <c r="H49" s="247">
        <v>1.1000000000000001</v>
      </c>
      <c r="I49" s="262" t="s">
        <v>272</v>
      </c>
      <c r="J49" s="252">
        <v>1623000</v>
      </c>
      <c r="K49" s="251">
        <f t="shared" si="7"/>
        <v>973800</v>
      </c>
      <c r="L49" s="252">
        <f t="shared" si="8"/>
        <v>649200</v>
      </c>
      <c r="M49" s="164">
        <v>0.6</v>
      </c>
      <c r="N49" s="253">
        <v>0</v>
      </c>
      <c r="O49" s="253">
        <v>0</v>
      </c>
      <c r="P49" s="235">
        <v>0</v>
      </c>
      <c r="Q49" s="263">
        <v>0</v>
      </c>
      <c r="R49" s="253">
        <f>70000*M49</f>
        <v>42000</v>
      </c>
      <c r="S49" s="253">
        <f>1200000*M49</f>
        <v>720000</v>
      </c>
      <c r="T49" s="253">
        <f>353000*M49</f>
        <v>211800</v>
      </c>
      <c r="U49" s="162"/>
      <c r="V49" s="162"/>
      <c r="W49" s="162"/>
      <c r="X49" s="137" t="b">
        <f t="shared" si="0"/>
        <v>1</v>
      </c>
      <c r="Y49" s="179">
        <f t="shared" si="1"/>
        <v>0.6</v>
      </c>
      <c r="Z49" s="180" t="b">
        <f t="shared" si="2"/>
        <v>1</v>
      </c>
      <c r="AA49" s="180" t="b">
        <f t="shared" si="3"/>
        <v>1</v>
      </c>
      <c r="AB49" s="171"/>
    </row>
    <row r="50" spans="1:28" s="172" customFormat="1" ht="36.75" customHeight="1">
      <c r="A50" s="185">
        <v>48</v>
      </c>
      <c r="B50" s="241">
        <v>102</v>
      </c>
      <c r="C50" s="185" t="s">
        <v>73</v>
      </c>
      <c r="D50" s="185" t="s">
        <v>72</v>
      </c>
      <c r="E50" s="217">
        <v>2007000</v>
      </c>
      <c r="F50" s="234" t="s">
        <v>281</v>
      </c>
      <c r="G50" s="182" t="s">
        <v>49</v>
      </c>
      <c r="H50" s="187">
        <v>0.99</v>
      </c>
      <c r="I50" s="241" t="s">
        <v>282</v>
      </c>
      <c r="J50" s="192">
        <v>1500000</v>
      </c>
      <c r="K50" s="206">
        <f t="shared" si="7"/>
        <v>900000</v>
      </c>
      <c r="L50" s="192">
        <f t="shared" si="8"/>
        <v>600000</v>
      </c>
      <c r="M50" s="166">
        <v>0.6</v>
      </c>
      <c r="N50" s="199">
        <v>0</v>
      </c>
      <c r="O50" s="199">
        <v>0</v>
      </c>
      <c r="P50" s="215">
        <v>0</v>
      </c>
      <c r="Q50" s="162">
        <v>0</v>
      </c>
      <c r="R50" s="162">
        <f>K50</f>
        <v>900000</v>
      </c>
      <c r="S50" s="267"/>
      <c r="T50" s="162"/>
      <c r="U50" s="162"/>
      <c r="V50" s="162"/>
      <c r="W50" s="162"/>
      <c r="X50" s="137" t="b">
        <f t="shared" si="0"/>
        <v>1</v>
      </c>
      <c r="Y50" s="179">
        <f t="shared" si="1"/>
        <v>0.6</v>
      </c>
      <c r="Z50" s="180" t="b">
        <f t="shared" si="2"/>
        <v>1</v>
      </c>
      <c r="AA50" s="180" t="b">
        <f t="shared" si="3"/>
        <v>1</v>
      </c>
      <c r="AB50" s="171"/>
    </row>
    <row r="51" spans="1:28" s="197" customFormat="1" ht="36.75" customHeight="1">
      <c r="A51" s="243">
        <v>49</v>
      </c>
      <c r="B51" s="243">
        <v>151</v>
      </c>
      <c r="C51" s="243" t="s">
        <v>61</v>
      </c>
      <c r="D51" s="243" t="s">
        <v>139</v>
      </c>
      <c r="E51" s="219">
        <v>2004000</v>
      </c>
      <c r="F51" s="250" t="s">
        <v>155</v>
      </c>
      <c r="G51" s="246" t="s">
        <v>48</v>
      </c>
      <c r="H51" s="247">
        <v>6.7880000000000003</v>
      </c>
      <c r="I51" s="262" t="s">
        <v>272</v>
      </c>
      <c r="J51" s="252">
        <v>19989000</v>
      </c>
      <c r="K51" s="251">
        <f t="shared" si="7"/>
        <v>11993400</v>
      </c>
      <c r="L51" s="252">
        <f t="shared" si="8"/>
        <v>7995600</v>
      </c>
      <c r="M51" s="164">
        <v>0.6</v>
      </c>
      <c r="N51" s="253">
        <v>0</v>
      </c>
      <c r="O51" s="253">
        <v>0</v>
      </c>
      <c r="P51" s="235">
        <v>0</v>
      </c>
      <c r="Q51" s="263">
        <v>0</v>
      </c>
      <c r="R51" s="253">
        <f>9000*M51</f>
        <v>5400</v>
      </c>
      <c r="S51" s="253">
        <f>8300000*M51</f>
        <v>4980000</v>
      </c>
      <c r="T51" s="253">
        <f>11680000*M51</f>
        <v>7008000</v>
      </c>
      <c r="U51" s="162"/>
      <c r="V51" s="162"/>
      <c r="W51" s="162"/>
      <c r="X51" s="28" t="b">
        <f t="shared" si="0"/>
        <v>1</v>
      </c>
      <c r="Y51" s="139">
        <f t="shared" si="1"/>
        <v>0.6</v>
      </c>
      <c r="Z51" s="140" t="b">
        <f t="shared" si="2"/>
        <v>1</v>
      </c>
      <c r="AA51" s="140" t="b">
        <f t="shared" si="3"/>
        <v>1</v>
      </c>
      <c r="AB51" s="201"/>
    </row>
    <row r="52" spans="1:28" s="2" customFormat="1" ht="40.5" customHeight="1">
      <c r="A52" s="220">
        <v>50</v>
      </c>
      <c r="B52" s="220">
        <v>148</v>
      </c>
      <c r="C52" s="220" t="s">
        <v>73</v>
      </c>
      <c r="D52" s="220" t="s">
        <v>119</v>
      </c>
      <c r="E52" s="279">
        <v>2001000</v>
      </c>
      <c r="F52" s="280" t="s">
        <v>266</v>
      </c>
      <c r="G52" s="221" t="s">
        <v>48</v>
      </c>
      <c r="H52" s="222">
        <v>4.9829999999999997</v>
      </c>
      <c r="I52" s="281" t="s">
        <v>267</v>
      </c>
      <c r="J52" s="282">
        <v>5230000</v>
      </c>
      <c r="K52" s="283">
        <f t="shared" si="7"/>
        <v>3138000</v>
      </c>
      <c r="L52" s="282">
        <f t="shared" si="8"/>
        <v>2092000</v>
      </c>
      <c r="M52" s="284">
        <v>0.6</v>
      </c>
      <c r="N52" s="209">
        <v>0</v>
      </c>
      <c r="O52" s="209">
        <v>0</v>
      </c>
      <c r="P52" s="224">
        <v>0</v>
      </c>
      <c r="Q52" s="225">
        <v>0</v>
      </c>
      <c r="R52" s="225">
        <f>K52</f>
        <v>3138000</v>
      </c>
      <c r="S52" s="225"/>
      <c r="T52" s="225"/>
      <c r="U52" s="225"/>
      <c r="V52" s="225"/>
      <c r="W52" s="225"/>
      <c r="X52" s="137" t="b">
        <f t="shared" si="0"/>
        <v>1</v>
      </c>
      <c r="Y52" s="179">
        <f t="shared" si="1"/>
        <v>0.6</v>
      </c>
      <c r="Z52" s="180" t="b">
        <f t="shared" si="2"/>
        <v>1</v>
      </c>
      <c r="AA52" s="180" t="b">
        <f t="shared" si="3"/>
        <v>1</v>
      </c>
    </row>
    <row r="53" spans="1:28" s="172" customFormat="1" ht="36.75" customHeight="1">
      <c r="A53" s="243">
        <v>51</v>
      </c>
      <c r="B53" s="243">
        <v>105</v>
      </c>
      <c r="C53" s="243" t="s">
        <v>61</v>
      </c>
      <c r="D53" s="243" t="s">
        <v>72</v>
      </c>
      <c r="E53" s="218">
        <v>2007000</v>
      </c>
      <c r="F53" s="250" t="s">
        <v>289</v>
      </c>
      <c r="G53" s="246" t="s">
        <v>49</v>
      </c>
      <c r="H53" s="247">
        <v>2.7</v>
      </c>
      <c r="I53" s="262" t="s">
        <v>265</v>
      </c>
      <c r="J53" s="252">
        <v>5500000</v>
      </c>
      <c r="K53" s="251">
        <f t="shared" si="7"/>
        <v>3300000</v>
      </c>
      <c r="L53" s="252">
        <f t="shared" si="8"/>
        <v>2200000</v>
      </c>
      <c r="M53" s="164">
        <v>0.6</v>
      </c>
      <c r="N53" s="253">
        <v>0</v>
      </c>
      <c r="O53" s="253">
        <v>0</v>
      </c>
      <c r="P53" s="235">
        <v>0</v>
      </c>
      <c r="Q53" s="263">
        <v>0</v>
      </c>
      <c r="R53" s="253">
        <f>100000*M53</f>
        <v>60000</v>
      </c>
      <c r="S53" s="253">
        <f>5400000*M53</f>
        <v>3240000</v>
      </c>
      <c r="T53" s="263"/>
      <c r="U53" s="162"/>
      <c r="V53" s="162"/>
      <c r="W53" s="162"/>
      <c r="X53" s="137" t="b">
        <f t="shared" si="0"/>
        <v>1</v>
      </c>
      <c r="Y53" s="179">
        <f t="shared" si="1"/>
        <v>0.6</v>
      </c>
      <c r="Z53" s="180" t="b">
        <f t="shared" si="2"/>
        <v>1</v>
      </c>
      <c r="AA53" s="180" t="b">
        <f t="shared" si="3"/>
        <v>1</v>
      </c>
      <c r="AB53" s="171"/>
    </row>
    <row r="54" spans="1:28" s="172" customFormat="1" ht="36.75" customHeight="1">
      <c r="A54" s="220">
        <v>52</v>
      </c>
      <c r="B54" s="241">
        <v>34</v>
      </c>
      <c r="C54" s="220" t="s">
        <v>73</v>
      </c>
      <c r="D54" s="241" t="s">
        <v>79</v>
      </c>
      <c r="E54" s="217">
        <v>2010000</v>
      </c>
      <c r="F54" s="229" t="s">
        <v>434</v>
      </c>
      <c r="G54" s="230" t="s">
        <v>63</v>
      </c>
      <c r="H54" s="231">
        <v>2.8860000000000001</v>
      </c>
      <c r="I54" s="232" t="s">
        <v>279</v>
      </c>
      <c r="J54" s="276">
        <v>2139022</v>
      </c>
      <c r="K54" s="206">
        <f t="shared" si="7"/>
        <v>1283413.2</v>
      </c>
      <c r="L54" s="192">
        <f t="shared" si="8"/>
        <v>855608.8</v>
      </c>
      <c r="M54" s="257">
        <v>0.6</v>
      </c>
      <c r="N54" s="209">
        <v>0</v>
      </c>
      <c r="O54" s="209">
        <v>0</v>
      </c>
      <c r="P54" s="224">
        <v>0</v>
      </c>
      <c r="Q54" s="225">
        <v>0</v>
      </c>
      <c r="R54" s="225">
        <f>K54</f>
        <v>1283413.2</v>
      </c>
      <c r="S54" s="286"/>
      <c r="T54" s="225"/>
      <c r="U54" s="225"/>
      <c r="V54" s="225"/>
      <c r="W54" s="225"/>
      <c r="X54" s="137" t="b">
        <f t="shared" si="0"/>
        <v>1</v>
      </c>
      <c r="Y54" s="179">
        <f t="shared" si="1"/>
        <v>0.6</v>
      </c>
      <c r="Z54" s="180" t="b">
        <f t="shared" si="2"/>
        <v>1</v>
      </c>
      <c r="AA54" s="180" t="b">
        <f t="shared" si="3"/>
        <v>1</v>
      </c>
      <c r="AB54" s="171"/>
    </row>
    <row r="55" spans="1:28" s="172" customFormat="1" ht="48" customHeight="1">
      <c r="A55" s="185">
        <v>53</v>
      </c>
      <c r="B55" s="241">
        <v>269</v>
      </c>
      <c r="C55" s="185" t="s">
        <v>73</v>
      </c>
      <c r="D55" s="185" t="s">
        <v>47</v>
      </c>
      <c r="E55" s="217">
        <v>2002000</v>
      </c>
      <c r="F55" s="186" t="s">
        <v>297</v>
      </c>
      <c r="G55" s="182" t="s">
        <v>48</v>
      </c>
      <c r="H55" s="187">
        <v>2.5459999999999998</v>
      </c>
      <c r="I55" s="188" t="s">
        <v>287</v>
      </c>
      <c r="J55" s="192">
        <v>4547500</v>
      </c>
      <c r="K55" s="173">
        <f t="shared" si="7"/>
        <v>2728500</v>
      </c>
      <c r="L55" s="227">
        <f t="shared" si="8"/>
        <v>1819000</v>
      </c>
      <c r="M55" s="167">
        <v>0.6</v>
      </c>
      <c r="N55" s="199">
        <v>0</v>
      </c>
      <c r="O55" s="199">
        <v>0</v>
      </c>
      <c r="P55" s="215">
        <v>0</v>
      </c>
      <c r="Q55" s="162">
        <v>0</v>
      </c>
      <c r="R55" s="162">
        <f>K55</f>
        <v>2728500</v>
      </c>
      <c r="S55" s="162"/>
      <c r="T55" s="162"/>
      <c r="U55" s="162"/>
      <c r="V55" s="162"/>
      <c r="W55" s="162"/>
      <c r="X55" s="137" t="b">
        <f t="shared" si="0"/>
        <v>1</v>
      </c>
      <c r="Y55" s="179">
        <f t="shared" si="1"/>
        <v>0.6</v>
      </c>
      <c r="Z55" s="180" t="b">
        <f t="shared" si="2"/>
        <v>1</v>
      </c>
      <c r="AA55" s="180" t="b">
        <f t="shared" si="3"/>
        <v>1</v>
      </c>
      <c r="AB55" s="171"/>
    </row>
    <row r="56" spans="1:28" s="172" customFormat="1" ht="42.75" customHeight="1">
      <c r="A56" s="185">
        <v>54</v>
      </c>
      <c r="B56" s="241">
        <v>41</v>
      </c>
      <c r="C56" s="185" t="s">
        <v>73</v>
      </c>
      <c r="D56" s="241" t="s">
        <v>85</v>
      </c>
      <c r="E56" s="217">
        <v>2012000</v>
      </c>
      <c r="F56" s="234" t="s">
        <v>288</v>
      </c>
      <c r="G56" s="230" t="s">
        <v>49</v>
      </c>
      <c r="H56" s="231">
        <v>2</v>
      </c>
      <c r="I56" s="241" t="s">
        <v>263</v>
      </c>
      <c r="J56" s="192">
        <v>3751000</v>
      </c>
      <c r="K56" s="206">
        <f t="shared" si="7"/>
        <v>2250600</v>
      </c>
      <c r="L56" s="192">
        <f t="shared" si="8"/>
        <v>1500400</v>
      </c>
      <c r="M56" s="166">
        <v>0.6</v>
      </c>
      <c r="N56" s="199">
        <v>0</v>
      </c>
      <c r="O56" s="199">
        <v>0</v>
      </c>
      <c r="P56" s="215">
        <v>0</v>
      </c>
      <c r="Q56" s="162">
        <v>0</v>
      </c>
      <c r="R56" s="162">
        <f>K56</f>
        <v>2250600</v>
      </c>
      <c r="S56" s="162"/>
      <c r="T56" s="162"/>
      <c r="U56" s="162"/>
      <c r="V56" s="162"/>
      <c r="W56" s="162"/>
      <c r="X56" s="137" t="b">
        <f t="shared" si="0"/>
        <v>1</v>
      </c>
      <c r="Y56" s="179">
        <f t="shared" si="1"/>
        <v>0.6</v>
      </c>
      <c r="Z56" s="180" t="b">
        <f t="shared" si="2"/>
        <v>1</v>
      </c>
      <c r="AA56" s="180" t="b">
        <f t="shared" si="3"/>
        <v>1</v>
      </c>
      <c r="AB56" s="171"/>
    </row>
    <row r="57" spans="1:28" s="172" customFormat="1" ht="45" customHeight="1">
      <c r="A57" s="243">
        <v>55</v>
      </c>
      <c r="B57" s="243">
        <v>152</v>
      </c>
      <c r="C57" s="243" t="s">
        <v>61</v>
      </c>
      <c r="D57" s="243" t="s">
        <v>139</v>
      </c>
      <c r="E57" s="219">
        <v>2004000</v>
      </c>
      <c r="F57" s="250" t="s">
        <v>293</v>
      </c>
      <c r="G57" s="246" t="s">
        <v>49</v>
      </c>
      <c r="H57" s="247">
        <v>1.663</v>
      </c>
      <c r="I57" s="262" t="s">
        <v>285</v>
      </c>
      <c r="J57" s="252">
        <v>6286000</v>
      </c>
      <c r="K57" s="251">
        <f t="shared" si="7"/>
        <v>3771600</v>
      </c>
      <c r="L57" s="252">
        <f t="shared" si="8"/>
        <v>2514400</v>
      </c>
      <c r="M57" s="164">
        <v>0.6</v>
      </c>
      <c r="N57" s="253">
        <v>0</v>
      </c>
      <c r="O57" s="253">
        <v>0</v>
      </c>
      <c r="P57" s="235">
        <v>0</v>
      </c>
      <c r="Q57" s="263">
        <v>0</v>
      </c>
      <c r="R57" s="253">
        <f>6000*M57</f>
        <v>3600</v>
      </c>
      <c r="S57" s="253">
        <f>1200000*M57</f>
        <v>720000</v>
      </c>
      <c r="T57" s="253">
        <f>5080000*M57</f>
        <v>3048000</v>
      </c>
      <c r="U57" s="162"/>
      <c r="V57" s="162"/>
      <c r="W57" s="162"/>
      <c r="X57" s="137" t="b">
        <f t="shared" si="0"/>
        <v>1</v>
      </c>
      <c r="Y57" s="179">
        <f t="shared" si="1"/>
        <v>0.6</v>
      </c>
      <c r="Z57" s="180" t="b">
        <f t="shared" si="2"/>
        <v>1</v>
      </c>
      <c r="AA57" s="180" t="b">
        <f t="shared" si="3"/>
        <v>1</v>
      </c>
      <c r="AB57" s="171"/>
    </row>
    <row r="58" spans="1:28" s="172" customFormat="1" ht="41.25" customHeight="1">
      <c r="A58" s="243">
        <v>56</v>
      </c>
      <c r="B58" s="243">
        <v>180</v>
      </c>
      <c r="C58" s="243" t="s">
        <v>61</v>
      </c>
      <c r="D58" s="243" t="s">
        <v>62</v>
      </c>
      <c r="E58" s="218">
        <v>2011000</v>
      </c>
      <c r="F58" s="250" t="s">
        <v>296</v>
      </c>
      <c r="G58" s="246" t="s">
        <v>48</v>
      </c>
      <c r="H58" s="247">
        <v>0.89400000000000002</v>
      </c>
      <c r="I58" s="262" t="s">
        <v>272</v>
      </c>
      <c r="J58" s="252">
        <v>14600000</v>
      </c>
      <c r="K58" s="251">
        <f t="shared" si="7"/>
        <v>8760000</v>
      </c>
      <c r="L58" s="252">
        <f t="shared" si="8"/>
        <v>5840000</v>
      </c>
      <c r="M58" s="164">
        <v>0.6</v>
      </c>
      <c r="N58" s="253">
        <v>0</v>
      </c>
      <c r="O58" s="253">
        <v>0</v>
      </c>
      <c r="P58" s="235">
        <v>0</v>
      </c>
      <c r="Q58" s="263">
        <v>0</v>
      </c>
      <c r="R58" s="253">
        <f>20000*M58</f>
        <v>12000</v>
      </c>
      <c r="S58" s="253">
        <f>8000000*M58</f>
        <v>4800000</v>
      </c>
      <c r="T58" s="253">
        <f>6580000*M58</f>
        <v>3948000</v>
      </c>
      <c r="U58" s="162"/>
      <c r="V58" s="162"/>
      <c r="W58" s="162"/>
      <c r="X58" s="137" t="b">
        <f t="shared" si="0"/>
        <v>1</v>
      </c>
      <c r="Y58" s="179">
        <f t="shared" si="1"/>
        <v>0.6</v>
      </c>
      <c r="Z58" s="180" t="b">
        <f t="shared" si="2"/>
        <v>1</v>
      </c>
      <c r="AA58" s="180" t="b">
        <f t="shared" si="3"/>
        <v>1</v>
      </c>
      <c r="AB58" s="171"/>
    </row>
    <row r="59" spans="1:28" s="238" customFormat="1" ht="36.75" customHeight="1">
      <c r="A59" s="243">
        <v>57</v>
      </c>
      <c r="B59" s="243">
        <v>181</v>
      </c>
      <c r="C59" s="243" t="s">
        <v>61</v>
      </c>
      <c r="D59" s="243" t="s">
        <v>62</v>
      </c>
      <c r="E59" s="218">
        <v>2011000</v>
      </c>
      <c r="F59" s="250" t="s">
        <v>300</v>
      </c>
      <c r="G59" s="246" t="s">
        <v>48</v>
      </c>
      <c r="H59" s="247">
        <v>0.75</v>
      </c>
      <c r="I59" s="262" t="s">
        <v>272</v>
      </c>
      <c r="J59" s="252">
        <v>10000000</v>
      </c>
      <c r="K59" s="251">
        <f t="shared" si="7"/>
        <v>6000000</v>
      </c>
      <c r="L59" s="252">
        <f t="shared" si="8"/>
        <v>4000000</v>
      </c>
      <c r="M59" s="164">
        <v>0.6</v>
      </c>
      <c r="N59" s="253">
        <v>0</v>
      </c>
      <c r="O59" s="253">
        <v>0</v>
      </c>
      <c r="P59" s="235">
        <v>0</v>
      </c>
      <c r="Q59" s="263">
        <v>0</v>
      </c>
      <c r="R59" s="253">
        <f>150000*M59</f>
        <v>90000</v>
      </c>
      <c r="S59" s="253">
        <f>6000000*M59</f>
        <v>3600000</v>
      </c>
      <c r="T59" s="253">
        <f>3850000*M59</f>
        <v>2310000</v>
      </c>
      <c r="U59" s="263"/>
      <c r="V59" s="263"/>
      <c r="W59" s="263"/>
      <c r="X59" s="137" t="b">
        <f t="shared" si="0"/>
        <v>1</v>
      </c>
      <c r="Y59" s="179">
        <f t="shared" si="1"/>
        <v>0.6</v>
      </c>
      <c r="Z59" s="180" t="b">
        <f t="shared" si="2"/>
        <v>1</v>
      </c>
      <c r="AA59" s="180" t="b">
        <f t="shared" si="3"/>
        <v>1</v>
      </c>
      <c r="AB59" s="237"/>
    </row>
    <row r="60" spans="1:28" s="238" customFormat="1" ht="36.75" customHeight="1">
      <c r="A60" s="185">
        <v>58</v>
      </c>
      <c r="B60" s="241">
        <v>36</v>
      </c>
      <c r="C60" s="185" t="s">
        <v>73</v>
      </c>
      <c r="D60" s="241" t="s">
        <v>79</v>
      </c>
      <c r="E60" s="217" t="s">
        <v>505</v>
      </c>
      <c r="F60" s="229" t="s">
        <v>540</v>
      </c>
      <c r="G60" s="230" t="s">
        <v>63</v>
      </c>
      <c r="H60" s="324">
        <v>3.6480000000000001</v>
      </c>
      <c r="I60" s="232" t="s">
        <v>279</v>
      </c>
      <c r="J60" s="230">
        <v>2989247</v>
      </c>
      <c r="K60" s="206">
        <f t="shared" si="7"/>
        <v>1793548.2</v>
      </c>
      <c r="L60" s="192">
        <f t="shared" si="8"/>
        <v>1195698.8</v>
      </c>
      <c r="M60" s="166">
        <v>0.6</v>
      </c>
      <c r="N60" s="199">
        <v>0</v>
      </c>
      <c r="O60" s="199">
        <v>0</v>
      </c>
      <c r="P60" s="215">
        <v>0</v>
      </c>
      <c r="Q60" s="162">
        <v>0</v>
      </c>
      <c r="R60" s="162">
        <f t="shared" ref="R60" si="9">K60</f>
        <v>1793548.2</v>
      </c>
      <c r="S60" s="162"/>
      <c r="T60" s="162"/>
      <c r="U60" s="162"/>
      <c r="V60" s="162"/>
      <c r="W60" s="162"/>
      <c r="X60" s="137" t="b">
        <f t="shared" ref="X60" si="10">K60=SUM(N60:W60)</f>
        <v>1</v>
      </c>
      <c r="Y60" s="179">
        <f t="shared" ref="Y60" si="11">ROUND(K60/J60,4)</f>
        <v>0.6</v>
      </c>
      <c r="Z60" s="180" t="b">
        <f t="shared" ref="Z60" si="12">Y60=M60</f>
        <v>1</v>
      </c>
      <c r="AA60" s="180" t="b">
        <f t="shared" ref="AA60" si="13">J60=K60+L60</f>
        <v>1</v>
      </c>
      <c r="AB60" s="237"/>
    </row>
    <row r="61" spans="1:28" s="31" customFormat="1" ht="37.5" customHeight="1">
      <c r="A61" s="185">
        <v>59</v>
      </c>
      <c r="B61" s="241">
        <v>101</v>
      </c>
      <c r="C61" s="185" t="s">
        <v>73</v>
      </c>
      <c r="D61" s="185" t="s">
        <v>72</v>
      </c>
      <c r="E61" s="217">
        <v>2007000</v>
      </c>
      <c r="F61" s="229" t="s">
        <v>439</v>
      </c>
      <c r="G61" s="182" t="s">
        <v>63</v>
      </c>
      <c r="H61" s="187">
        <v>0.55000000000000004</v>
      </c>
      <c r="I61" s="233" t="s">
        <v>334</v>
      </c>
      <c r="J61" s="192">
        <v>1642000</v>
      </c>
      <c r="K61" s="206">
        <f t="shared" si="7"/>
        <v>985200</v>
      </c>
      <c r="L61" s="192">
        <f t="shared" si="8"/>
        <v>656800</v>
      </c>
      <c r="M61" s="166">
        <v>0.6</v>
      </c>
      <c r="N61" s="199">
        <v>0</v>
      </c>
      <c r="O61" s="199">
        <v>0</v>
      </c>
      <c r="P61" s="162">
        <v>0</v>
      </c>
      <c r="Q61" s="162">
        <v>0</v>
      </c>
      <c r="R61" s="162">
        <f>K61</f>
        <v>985200</v>
      </c>
      <c r="S61" s="162"/>
      <c r="T61" s="162"/>
      <c r="U61" s="162"/>
      <c r="V61" s="162"/>
      <c r="W61" s="162"/>
      <c r="X61" s="137" t="b">
        <f t="shared" si="0"/>
        <v>1</v>
      </c>
      <c r="Y61" s="179">
        <f t="shared" si="1"/>
        <v>0.6</v>
      </c>
      <c r="Z61" s="180" t="b">
        <f t="shared" si="2"/>
        <v>1</v>
      </c>
      <c r="AA61" s="180" t="b">
        <f t="shared" si="3"/>
        <v>1</v>
      </c>
      <c r="AB61" s="32"/>
    </row>
    <row r="62" spans="1:28" s="31" customFormat="1" ht="37.5" customHeight="1">
      <c r="A62" s="196">
        <v>60</v>
      </c>
      <c r="B62" s="185">
        <v>174</v>
      </c>
      <c r="C62" s="185" t="s">
        <v>73</v>
      </c>
      <c r="D62" s="185" t="s">
        <v>452</v>
      </c>
      <c r="E62" s="217">
        <v>2008000</v>
      </c>
      <c r="F62" s="186" t="s">
        <v>463</v>
      </c>
      <c r="G62" s="182" t="s">
        <v>48</v>
      </c>
      <c r="H62" s="187">
        <v>1.625</v>
      </c>
      <c r="I62" s="188" t="s">
        <v>256</v>
      </c>
      <c r="J62" s="192">
        <v>9100000</v>
      </c>
      <c r="K62" s="206">
        <f>ROUNDDOWN(J62*M62,2)</f>
        <v>5460000</v>
      </c>
      <c r="L62" s="192">
        <f>J62-K62</f>
        <v>3640000</v>
      </c>
      <c r="M62" s="257">
        <v>0.6</v>
      </c>
      <c r="N62" s="199">
        <v>0</v>
      </c>
      <c r="O62" s="199">
        <v>0</v>
      </c>
      <c r="P62" s="215">
        <v>0</v>
      </c>
      <c r="Q62" s="162">
        <v>0</v>
      </c>
      <c r="R62" s="199">
        <f>K62</f>
        <v>5460000</v>
      </c>
      <c r="S62" s="199"/>
      <c r="T62" s="199"/>
      <c r="U62" s="162"/>
      <c r="V62" s="162"/>
      <c r="W62" s="162"/>
      <c r="X62" s="137" t="b">
        <f t="shared" si="0"/>
        <v>1</v>
      </c>
      <c r="Y62" s="179">
        <f t="shared" si="1"/>
        <v>0.6</v>
      </c>
      <c r="Z62" s="180" t="b">
        <f t="shared" si="2"/>
        <v>1</v>
      </c>
      <c r="AA62" s="180" t="b">
        <f t="shared" si="3"/>
        <v>1</v>
      </c>
      <c r="AB62" s="32"/>
    </row>
    <row r="63" spans="1:28" s="31" customFormat="1" ht="37.5" customHeight="1">
      <c r="A63" s="185" t="s">
        <v>570</v>
      </c>
      <c r="B63" s="241">
        <v>168</v>
      </c>
      <c r="C63" s="185" t="s">
        <v>73</v>
      </c>
      <c r="D63" s="185" t="s">
        <v>81</v>
      </c>
      <c r="E63" s="217">
        <v>2003000</v>
      </c>
      <c r="F63" s="186" t="s">
        <v>270</v>
      </c>
      <c r="G63" s="182" t="s">
        <v>48</v>
      </c>
      <c r="H63" s="187">
        <v>0.85</v>
      </c>
      <c r="I63" s="188" t="s">
        <v>269</v>
      </c>
      <c r="J63" s="192">
        <v>3565680</v>
      </c>
      <c r="K63" s="206">
        <v>1469505.92</v>
      </c>
      <c r="L63" s="192">
        <f>J63-K63</f>
        <v>2096174.0800000001</v>
      </c>
      <c r="M63" s="166">
        <v>0.6</v>
      </c>
      <c r="N63" s="199">
        <v>0</v>
      </c>
      <c r="O63" s="162">
        <v>0</v>
      </c>
      <c r="P63" s="215">
        <v>0</v>
      </c>
      <c r="Q63" s="162">
        <v>0</v>
      </c>
      <c r="R63" s="162">
        <f>K63</f>
        <v>1469505.92</v>
      </c>
      <c r="S63" s="162"/>
      <c r="T63" s="162"/>
      <c r="U63" s="162"/>
      <c r="V63" s="162"/>
      <c r="W63" s="162"/>
      <c r="X63" s="137" t="b">
        <f t="shared" si="0"/>
        <v>1</v>
      </c>
      <c r="Y63" s="179">
        <f t="shared" si="1"/>
        <v>0.41210000000000002</v>
      </c>
      <c r="Z63" s="180" t="b">
        <f t="shared" si="2"/>
        <v>0</v>
      </c>
      <c r="AA63" s="180" t="b">
        <f t="shared" si="3"/>
        <v>1</v>
      </c>
      <c r="AB63" s="32"/>
    </row>
    <row r="64" spans="1:28" ht="20.100000000000001" customHeight="1">
      <c r="A64" s="354" t="s">
        <v>43</v>
      </c>
      <c r="B64" s="354"/>
      <c r="C64" s="354"/>
      <c r="D64" s="354"/>
      <c r="E64" s="354"/>
      <c r="F64" s="354"/>
      <c r="G64" s="354"/>
      <c r="H64" s="132">
        <f>SUM(H3:H63)</f>
        <v>178.55449999999996</v>
      </c>
      <c r="I64" s="133" t="s">
        <v>14</v>
      </c>
      <c r="J64" s="33">
        <f>SUM(J3:J63)</f>
        <v>408030387.72000009</v>
      </c>
      <c r="K64" s="33">
        <f>SUM(K3:K63)</f>
        <v>225476641.19999999</v>
      </c>
      <c r="L64" s="33">
        <f>SUM(L3:L63)</f>
        <v>182553746.52000004</v>
      </c>
      <c r="M64" s="134" t="s">
        <v>14</v>
      </c>
      <c r="N64" s="33">
        <f t="shared" ref="N64:W64" si="14">SUM(N3:N63)</f>
        <v>0</v>
      </c>
      <c r="O64" s="33">
        <f t="shared" si="14"/>
        <v>0</v>
      </c>
      <c r="P64" s="33">
        <f t="shared" si="14"/>
        <v>5053507.33</v>
      </c>
      <c r="Q64" s="33">
        <f t="shared" si="14"/>
        <v>36237130.890000001</v>
      </c>
      <c r="R64" s="33">
        <f t="shared" si="14"/>
        <v>104432990.52000001</v>
      </c>
      <c r="S64" s="33">
        <f t="shared" si="14"/>
        <v>52541212.460000001</v>
      </c>
      <c r="T64" s="33">
        <f t="shared" si="14"/>
        <v>27211800</v>
      </c>
      <c r="U64" s="33">
        <f t="shared" si="14"/>
        <v>0</v>
      </c>
      <c r="V64" s="33">
        <f t="shared" si="14"/>
        <v>0</v>
      </c>
      <c r="W64" s="33">
        <f t="shared" si="14"/>
        <v>0</v>
      </c>
      <c r="X64" s="137" t="b">
        <f t="shared" si="0"/>
        <v>1</v>
      </c>
      <c r="Y64" s="179">
        <f t="shared" si="1"/>
        <v>0.55259999999999998</v>
      </c>
      <c r="Z64" s="180" t="s">
        <v>14</v>
      </c>
      <c r="AA64" s="180" t="b">
        <f t="shared" si="3"/>
        <v>1</v>
      </c>
    </row>
    <row r="65" spans="1:27" ht="20.100000000000001" customHeight="1">
      <c r="A65" s="353" t="s">
        <v>37</v>
      </c>
      <c r="B65" s="353"/>
      <c r="C65" s="353"/>
      <c r="D65" s="353"/>
      <c r="E65" s="353"/>
      <c r="F65" s="353"/>
      <c r="G65" s="353"/>
      <c r="H65" s="135">
        <f>SUMIF($C$3:$C$63,"K",H3:H63)</f>
        <v>107.57250000000001</v>
      </c>
      <c r="I65" s="321" t="s">
        <v>14</v>
      </c>
      <c r="J65" s="252">
        <f>SUMIF($C$3:$C$63,"K",J3:J63)</f>
        <v>201686813.72</v>
      </c>
      <c r="K65" s="252">
        <f>SUMIF($C$3:$C$63,"K",K3:K63)</f>
        <v>101640398.89000002</v>
      </c>
      <c r="L65" s="252">
        <f>SUMIF($C$3:$C$63,"K",L3:L63)</f>
        <v>100046414.83000001</v>
      </c>
      <c r="M65" s="136" t="s">
        <v>14</v>
      </c>
      <c r="N65" s="252">
        <f t="shared" ref="N65:W65" si="15">SUMIF($C$3:$C$63,"K",N3:N63)</f>
        <v>0</v>
      </c>
      <c r="O65" s="252">
        <f t="shared" si="15"/>
        <v>0</v>
      </c>
      <c r="P65" s="252">
        <f t="shared" si="15"/>
        <v>5053507.33</v>
      </c>
      <c r="Q65" s="252">
        <f t="shared" si="15"/>
        <v>36237130.890000001</v>
      </c>
      <c r="R65" s="252">
        <f t="shared" si="15"/>
        <v>44129114.410000004</v>
      </c>
      <c r="S65" s="252">
        <f t="shared" si="15"/>
        <v>16220646.26</v>
      </c>
      <c r="T65" s="252">
        <f t="shared" si="15"/>
        <v>0</v>
      </c>
      <c r="U65" s="252">
        <f t="shared" si="15"/>
        <v>0</v>
      </c>
      <c r="V65" s="252">
        <f t="shared" si="15"/>
        <v>0</v>
      </c>
      <c r="W65" s="252">
        <f t="shared" si="15"/>
        <v>0</v>
      </c>
      <c r="X65" s="137" t="b">
        <f t="shared" si="0"/>
        <v>1</v>
      </c>
      <c r="Y65" s="179">
        <f t="shared" si="1"/>
        <v>0.504</v>
      </c>
      <c r="Z65" s="180" t="s">
        <v>14</v>
      </c>
      <c r="AA65" s="180" t="b">
        <f t="shared" si="3"/>
        <v>1</v>
      </c>
    </row>
    <row r="66" spans="1:27" ht="20.100000000000001" customHeight="1">
      <c r="A66" s="354" t="s">
        <v>38</v>
      </c>
      <c r="B66" s="354"/>
      <c r="C66" s="354"/>
      <c r="D66" s="354"/>
      <c r="E66" s="354"/>
      <c r="F66" s="354"/>
      <c r="G66" s="354"/>
      <c r="H66" s="132">
        <f>SUMIF($C$3:$C$63,"N",H3:H63)</f>
        <v>36.721999999999994</v>
      </c>
      <c r="I66" s="133" t="s">
        <v>14</v>
      </c>
      <c r="J66" s="33">
        <f>SUMIF($C$3:$C$63,"N",J3:J63)</f>
        <v>84233280</v>
      </c>
      <c r="K66" s="33">
        <f>SUMIF($C$3:$C$63,"N",K3:K63)</f>
        <v>50570065.910000011</v>
      </c>
      <c r="L66" s="33">
        <f>SUMIF($C$3:$C$63,"N",L3:L63)</f>
        <v>33663214.090000004</v>
      </c>
      <c r="M66" s="134" t="s">
        <v>14</v>
      </c>
      <c r="N66" s="33">
        <f t="shared" ref="N66:W66" si="16">SUMIF($C$3:$C$63,"N",N3:N63)</f>
        <v>0</v>
      </c>
      <c r="O66" s="33">
        <f t="shared" si="16"/>
        <v>0</v>
      </c>
      <c r="P66" s="33">
        <f t="shared" si="16"/>
        <v>0</v>
      </c>
      <c r="Q66" s="33">
        <f t="shared" si="16"/>
        <v>0</v>
      </c>
      <c r="R66" s="33">
        <f t="shared" si="16"/>
        <v>50570065.910000011</v>
      </c>
      <c r="S66" s="33">
        <f t="shared" si="16"/>
        <v>0</v>
      </c>
      <c r="T66" s="33">
        <f t="shared" si="16"/>
        <v>0</v>
      </c>
      <c r="U66" s="33">
        <f t="shared" si="16"/>
        <v>0</v>
      </c>
      <c r="V66" s="33">
        <f t="shared" si="16"/>
        <v>0</v>
      </c>
      <c r="W66" s="33">
        <f t="shared" si="16"/>
        <v>0</v>
      </c>
      <c r="X66" s="137" t="b">
        <f t="shared" si="0"/>
        <v>1</v>
      </c>
      <c r="Y66" s="179">
        <f t="shared" si="1"/>
        <v>0.60040000000000004</v>
      </c>
      <c r="Z66" s="180" t="s">
        <v>14</v>
      </c>
      <c r="AA66" s="180" t="b">
        <f t="shared" si="3"/>
        <v>1</v>
      </c>
    </row>
    <row r="67" spans="1:27" ht="20.100000000000001" customHeight="1">
      <c r="A67" s="353" t="s">
        <v>39</v>
      </c>
      <c r="B67" s="353"/>
      <c r="C67" s="353"/>
      <c r="D67" s="353"/>
      <c r="E67" s="353"/>
      <c r="F67" s="353"/>
      <c r="G67" s="353"/>
      <c r="H67" s="135">
        <f>SUMIF($C$3:$C$63,"W",H3:H63)</f>
        <v>34.26</v>
      </c>
      <c r="I67" s="321" t="s">
        <v>14</v>
      </c>
      <c r="J67" s="252">
        <f>SUMIF($C$3:$C$63,"W",J3:J63)</f>
        <v>122110294</v>
      </c>
      <c r="K67" s="252">
        <f>SUMIF($C$3:$C$63,"W",K3:K63)</f>
        <v>73266176.400000006</v>
      </c>
      <c r="L67" s="252">
        <f>SUMIF($C$3:$C$63,"W",L3:L63)</f>
        <v>48844117.600000001</v>
      </c>
      <c r="M67" s="136" t="s">
        <v>14</v>
      </c>
      <c r="N67" s="252">
        <f t="shared" ref="N67:W67" si="17">SUMIF($C$3:$C$63,"W",N3:N63)</f>
        <v>0</v>
      </c>
      <c r="O67" s="252">
        <f t="shared" si="17"/>
        <v>0</v>
      </c>
      <c r="P67" s="252">
        <f t="shared" si="17"/>
        <v>0</v>
      </c>
      <c r="Q67" s="252">
        <f t="shared" si="17"/>
        <v>0</v>
      </c>
      <c r="R67" s="252">
        <f t="shared" si="17"/>
        <v>9733810.1999999993</v>
      </c>
      <c r="S67" s="252">
        <f t="shared" si="17"/>
        <v>36320566.200000003</v>
      </c>
      <c r="T67" s="252">
        <f t="shared" si="17"/>
        <v>27211800</v>
      </c>
      <c r="U67" s="252">
        <f t="shared" si="17"/>
        <v>0</v>
      </c>
      <c r="V67" s="252">
        <f t="shared" si="17"/>
        <v>0</v>
      </c>
      <c r="W67" s="252">
        <f t="shared" si="17"/>
        <v>0</v>
      </c>
      <c r="X67" s="137" t="b">
        <f t="shared" si="0"/>
        <v>1</v>
      </c>
      <c r="Y67" s="179">
        <f t="shared" si="1"/>
        <v>0.6</v>
      </c>
      <c r="Z67" s="180" t="s">
        <v>14</v>
      </c>
      <c r="AA67" s="180" t="b">
        <f t="shared" si="3"/>
        <v>1</v>
      </c>
    </row>
    <row r="68" spans="1:27">
      <c r="A68" s="298"/>
      <c r="B68" s="299"/>
      <c r="C68" s="299"/>
      <c r="D68" s="299"/>
      <c r="E68" s="299"/>
      <c r="F68" s="299"/>
      <c r="G68" s="299"/>
      <c r="X68" s="168"/>
      <c r="Y68" s="137"/>
      <c r="Z68" s="137"/>
      <c r="AA68" s="168"/>
    </row>
    <row r="69" spans="1:27">
      <c r="A69" s="349" t="s">
        <v>25</v>
      </c>
      <c r="B69" s="349"/>
      <c r="C69" s="349"/>
      <c r="D69" s="349"/>
      <c r="E69" s="349"/>
      <c r="F69" s="349"/>
      <c r="G69" s="22"/>
      <c r="H69" s="24"/>
      <c r="I69" s="289"/>
      <c r="J69" s="193"/>
      <c r="K69" s="290"/>
      <c r="L69" s="290"/>
      <c r="N69" s="290"/>
      <c r="O69" s="290"/>
      <c r="P69" s="290"/>
      <c r="Q69" s="290"/>
      <c r="S69" s="290"/>
      <c r="T69" s="290"/>
      <c r="U69" s="290"/>
      <c r="V69" s="290"/>
      <c r="W69" s="290"/>
      <c r="X69" s="137"/>
      <c r="Y69" s="137"/>
      <c r="Z69" s="137"/>
      <c r="AA69" s="180"/>
    </row>
    <row r="70" spans="1:27">
      <c r="A70" s="350" t="s">
        <v>26</v>
      </c>
      <c r="B70" s="350"/>
      <c r="C70" s="350"/>
      <c r="D70" s="350"/>
      <c r="E70" s="350"/>
      <c r="F70" s="350"/>
      <c r="G70" s="350"/>
      <c r="H70" s="24"/>
      <c r="I70" s="289"/>
      <c r="J70" s="194"/>
      <c r="K70" s="290"/>
      <c r="L70" s="290"/>
      <c r="N70" s="290"/>
      <c r="O70" s="290"/>
      <c r="P70" s="290"/>
      <c r="Q70" s="290"/>
      <c r="R70" s="290"/>
      <c r="S70" s="290"/>
      <c r="T70" s="290"/>
      <c r="U70" s="290"/>
      <c r="V70" s="290"/>
      <c r="W70" s="290"/>
      <c r="X70" s="137"/>
      <c r="Y70" s="137"/>
      <c r="Z70" s="137"/>
      <c r="AA70" s="168"/>
    </row>
    <row r="71" spans="1:27" ht="24.75" customHeight="1">
      <c r="A71" s="349" t="s">
        <v>42</v>
      </c>
      <c r="B71" s="349"/>
      <c r="C71" s="349"/>
      <c r="D71" s="349"/>
      <c r="E71" s="349"/>
      <c r="F71" s="349"/>
      <c r="G71" s="349"/>
      <c r="H71" s="326"/>
      <c r="J71" s="195"/>
      <c r="X71" s="168"/>
      <c r="Y71" s="137"/>
      <c r="Z71" s="137"/>
      <c r="AA71" s="168"/>
    </row>
    <row r="72" spans="1:27" s="4" customFormat="1" ht="21.75" customHeight="1">
      <c r="A72" s="352" t="s">
        <v>509</v>
      </c>
      <c r="B72" s="352"/>
      <c r="C72" s="352"/>
      <c r="D72" s="352"/>
      <c r="E72" s="352"/>
      <c r="F72" s="352"/>
      <c r="G72" s="352"/>
      <c r="H72" s="352"/>
      <c r="I72" s="352"/>
      <c r="J72" s="352"/>
      <c r="K72" s="352"/>
      <c r="L72" s="352"/>
      <c r="M72" s="352"/>
      <c r="N72" s="352"/>
      <c r="O72" s="352"/>
      <c r="P72" s="352"/>
      <c r="Q72" s="352"/>
      <c r="R72" s="352"/>
      <c r="S72" s="190"/>
      <c r="T72" s="191"/>
      <c r="U72" s="191"/>
      <c r="V72" s="191"/>
      <c r="W72" s="191"/>
      <c r="X72" s="168"/>
      <c r="Y72" s="137"/>
      <c r="Z72" s="137"/>
      <c r="AA72" s="168"/>
    </row>
    <row r="73" spans="1:27" s="4" customFormat="1" ht="15" customHeight="1">
      <c r="A73" s="292" t="s">
        <v>510</v>
      </c>
      <c r="B73" s="292"/>
      <c r="C73" s="292"/>
      <c r="D73" s="292"/>
      <c r="E73" s="292"/>
      <c r="F73" s="292"/>
      <c r="G73" s="292"/>
      <c r="H73" s="292"/>
      <c r="I73" s="292"/>
      <c r="J73" s="292"/>
      <c r="K73" s="292"/>
      <c r="L73" s="292"/>
      <c r="M73" s="292"/>
      <c r="N73" s="292"/>
      <c r="O73" s="292"/>
      <c r="P73" s="292"/>
      <c r="Q73" s="292"/>
      <c r="R73" s="292"/>
      <c r="S73" s="292"/>
      <c r="T73" s="292"/>
      <c r="U73" s="191"/>
      <c r="V73" s="191"/>
      <c r="W73" s="191"/>
      <c r="X73" s="168"/>
      <c r="Y73" s="137"/>
      <c r="Z73" s="137"/>
      <c r="AA73" s="168"/>
    </row>
    <row r="74" spans="1:27" s="4" customFormat="1" ht="15" customHeight="1">
      <c r="A74" s="292"/>
      <c r="B74" s="292"/>
      <c r="C74" s="292"/>
      <c r="D74" s="292"/>
      <c r="E74" s="292"/>
      <c r="F74" s="292"/>
      <c r="G74" s="292"/>
      <c r="H74" s="292"/>
      <c r="I74" s="292"/>
      <c r="J74" s="292"/>
      <c r="K74" s="292"/>
      <c r="L74" s="292"/>
      <c r="M74" s="292"/>
      <c r="N74" s="292"/>
      <c r="O74" s="292"/>
      <c r="P74" s="292"/>
      <c r="Q74" s="292"/>
      <c r="R74" s="292"/>
      <c r="S74" s="292"/>
      <c r="T74" s="292"/>
      <c r="U74" s="191"/>
      <c r="V74" s="191"/>
      <c r="W74" s="191"/>
      <c r="X74" s="168"/>
      <c r="Y74" s="137"/>
      <c r="Z74" s="137"/>
      <c r="AA74" s="168"/>
    </row>
    <row r="75" spans="1:27">
      <c r="A75" s="293"/>
    </row>
    <row r="76" spans="1:27">
      <c r="A76" s="351" t="s">
        <v>109</v>
      </c>
      <c r="B76" s="351"/>
      <c r="C76" s="351"/>
      <c r="D76" s="351"/>
      <c r="E76" s="351"/>
      <c r="F76" s="351"/>
      <c r="G76" s="351"/>
      <c r="H76" s="351"/>
      <c r="I76" s="351"/>
      <c r="J76" s="351"/>
    </row>
    <row r="77" spans="1:27">
      <c r="A77" s="351" t="s">
        <v>110</v>
      </c>
      <c r="B77" s="351"/>
      <c r="C77" s="351"/>
      <c r="D77" s="351"/>
      <c r="E77" s="351"/>
      <c r="F77" s="351"/>
      <c r="G77" s="351"/>
      <c r="H77" s="351"/>
      <c r="I77" s="351"/>
    </row>
    <row r="80" spans="1:27">
      <c r="K80" s="323"/>
    </row>
  </sheetData>
  <mergeCells count="24">
    <mergeCell ref="L1:L2"/>
    <mergeCell ref="M1:M2"/>
    <mergeCell ref="N1:W1"/>
    <mergeCell ref="H1:H2"/>
    <mergeCell ref="I1:I2"/>
    <mergeCell ref="J1:J2"/>
    <mergeCell ref="K1:K2"/>
    <mergeCell ref="A67:G67"/>
    <mergeCell ref="A66:G66"/>
    <mergeCell ref="E1:E2"/>
    <mergeCell ref="A64:G64"/>
    <mergeCell ref="A1:A2"/>
    <mergeCell ref="B1:B2"/>
    <mergeCell ref="C1:C2"/>
    <mergeCell ref="F1:F2"/>
    <mergeCell ref="G1:G2"/>
    <mergeCell ref="A65:G65"/>
    <mergeCell ref="D1:D2"/>
    <mergeCell ref="A69:F69"/>
    <mergeCell ref="A70:G70"/>
    <mergeCell ref="A71:G71"/>
    <mergeCell ref="A76:J76"/>
    <mergeCell ref="A77:I77"/>
    <mergeCell ref="A72:R72"/>
  </mergeCells>
  <conditionalFormatting sqref="AB45:AB51 AB53:AB60 X3:AA67">
    <cfRule type="cellIs" dxfId="47" priority="150" operator="equal">
      <formula>FALSE</formula>
    </cfRule>
  </conditionalFormatting>
  <conditionalFormatting sqref="X3:Z67">
    <cfRule type="containsText" dxfId="46" priority="148" operator="containsText" text="fałsz">
      <formula>NOT(ISERROR(SEARCH("fałsz",X3)))</formula>
    </cfRule>
  </conditionalFormatting>
  <conditionalFormatting sqref="AA69">
    <cfRule type="cellIs" dxfId="45" priority="147" operator="equal">
      <formula>FALSE</formula>
    </cfRule>
  </conditionalFormatting>
  <conditionalFormatting sqref="AA69">
    <cfRule type="cellIs" dxfId="44" priority="146" operator="equal">
      <formula>FALSE</formula>
    </cfRule>
  </conditionalFormatting>
  <conditionalFormatting sqref="AB34">
    <cfRule type="cellIs" dxfId="43" priority="9" operator="equal">
      <formula>FALSE</formula>
    </cfRule>
  </conditionalFormatting>
  <conditionalFormatting sqref="AB39">
    <cfRule type="cellIs" dxfId="42" priority="7" operator="equal">
      <formula>FALSE</formula>
    </cfRule>
  </conditionalFormatting>
  <conditionalFormatting sqref="AB61:AB63">
    <cfRule type="cellIs" dxfId="41" priority="5" operator="equal">
      <formula>FALSE</formula>
    </cfRule>
  </conditionalFormatting>
  <conditionalFormatting sqref="AB36">
    <cfRule type="cellIs" dxfId="40" priority="3" operator="equal">
      <formula>FALSE</formula>
    </cfRule>
  </conditionalFormatting>
  <conditionalFormatting sqref="AB35">
    <cfRule type="cellIs" dxfId="39" priority="1" operator="equal">
      <formula>FALSE</formula>
    </cfRule>
  </conditionalFormatting>
  <dataValidations count="2">
    <dataValidation type="list" allowBlank="1" showInputMessage="1" showErrorMessage="1" sqref="G40:G41 G3:G31">
      <formula1>"B,P,R"</formula1>
    </dataValidation>
    <dataValidation type="list" allowBlank="1" showInputMessage="1" showErrorMessage="1" sqref="D44 C3:C43 C45:C63">
      <formula1>"N,K,W"</formula1>
    </dataValidation>
  </dataValidations>
  <pageMargins left="0.23622047244094491" right="0.23622047244094491" top="0.74803149606299213" bottom="0.74803149606299213" header="0.31496062992125984" footer="0.31496062992125984"/>
  <pageSetup paperSize="8" scale="54" fitToHeight="0" orientation="landscape" r:id="rId1"/>
  <headerFooter>
    <oddHeader>&amp;LWojewództwo podlaskie - zadania powiatowe lista podstawowa</oddHeader>
    <oddFooter>Strona &amp;P z &amp;N</oddFooter>
  </headerFooter>
  <rowBreaks count="1" manualBreakCount="1">
    <brk id="36" max="22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B125"/>
  <sheetViews>
    <sheetView showGridLines="0" view="pageBreakPreview" topLeftCell="A94" zoomScale="90" zoomScaleNormal="70" zoomScaleSheetLayoutView="90" workbookViewId="0">
      <selection activeCell="A103" sqref="A103"/>
    </sheetView>
  </sheetViews>
  <sheetFormatPr defaultRowHeight="15"/>
  <cols>
    <col min="1" max="1" width="6.28515625" style="168" customWidth="1"/>
    <col min="2" max="2" width="7.28515625" style="4" customWidth="1"/>
    <col min="3" max="3" width="16.140625" style="4" customWidth="1"/>
    <col min="4" max="4" width="19.85546875" style="4" customWidth="1"/>
    <col min="5" max="5" width="9.85546875" style="4" customWidth="1"/>
    <col min="6" max="6" width="18.7109375" style="4" customWidth="1"/>
    <col min="7" max="7" width="65.85546875" style="4" customWidth="1"/>
    <col min="8" max="8" width="9" style="4" customWidth="1"/>
    <col min="9" max="9" width="8.42578125" style="4" customWidth="1"/>
    <col min="10" max="10" width="13.7109375" style="168" customWidth="1"/>
    <col min="11" max="13" width="15.7109375" style="53" customWidth="1"/>
    <col min="14" max="14" width="15.7109375" style="137" customWidth="1"/>
    <col min="15" max="19" width="15.7109375" style="191" customWidth="1"/>
    <col min="20" max="20" width="15.85546875" style="191" customWidth="1"/>
    <col min="21" max="21" width="12.5703125" style="191" customWidth="1"/>
    <col min="22" max="22" width="12" style="191" customWidth="1"/>
    <col min="23" max="23" width="11.7109375" style="191" customWidth="1"/>
    <col min="24" max="24" width="12.5703125" style="191" customWidth="1"/>
    <col min="25" max="27" width="15.7109375" style="7" customWidth="1"/>
    <col min="28" max="28" width="15.7109375" style="3" customWidth="1"/>
    <col min="29" max="16384" width="9.140625" style="3"/>
  </cols>
  <sheetData>
    <row r="1" spans="1:28" ht="24.75" customHeight="1">
      <c r="A1" s="362" t="s">
        <v>4</v>
      </c>
      <c r="B1" s="362" t="s">
        <v>5</v>
      </c>
      <c r="C1" s="362" t="s">
        <v>60</v>
      </c>
      <c r="D1" s="362" t="s">
        <v>6</v>
      </c>
      <c r="E1" s="362" t="s">
        <v>33</v>
      </c>
      <c r="F1" s="362" t="s">
        <v>15</v>
      </c>
      <c r="G1" s="362" t="s">
        <v>7</v>
      </c>
      <c r="H1" s="362" t="s">
        <v>27</v>
      </c>
      <c r="I1" s="362" t="s">
        <v>8</v>
      </c>
      <c r="J1" s="362" t="s">
        <v>28</v>
      </c>
      <c r="K1" s="362" t="s">
        <v>9</v>
      </c>
      <c r="L1" s="362" t="s">
        <v>17</v>
      </c>
      <c r="M1" s="362" t="s">
        <v>13</v>
      </c>
      <c r="N1" s="362" t="s">
        <v>11</v>
      </c>
      <c r="O1" s="362" t="s">
        <v>12</v>
      </c>
      <c r="P1" s="362"/>
      <c r="Q1" s="362"/>
      <c r="R1" s="362"/>
      <c r="S1" s="362"/>
      <c r="T1" s="362"/>
      <c r="U1" s="362"/>
      <c r="V1" s="362"/>
      <c r="W1" s="362"/>
      <c r="X1" s="362"/>
      <c r="Y1" s="24"/>
      <c r="Z1" s="24"/>
      <c r="AA1" s="24"/>
      <c r="AB1" s="4"/>
    </row>
    <row r="2" spans="1:28" ht="31.9" customHeight="1">
      <c r="A2" s="362"/>
      <c r="B2" s="362"/>
      <c r="C2" s="362"/>
      <c r="D2" s="362"/>
      <c r="E2" s="362"/>
      <c r="F2" s="362"/>
      <c r="G2" s="362"/>
      <c r="H2" s="362"/>
      <c r="I2" s="362"/>
      <c r="J2" s="362"/>
      <c r="K2" s="362"/>
      <c r="L2" s="362"/>
      <c r="M2" s="362"/>
      <c r="N2" s="362"/>
      <c r="O2" s="320">
        <v>2019</v>
      </c>
      <c r="P2" s="320">
        <v>2020</v>
      </c>
      <c r="Q2" s="320">
        <v>2021</v>
      </c>
      <c r="R2" s="320">
        <v>2022</v>
      </c>
      <c r="S2" s="320">
        <v>2023</v>
      </c>
      <c r="T2" s="320">
        <v>2024</v>
      </c>
      <c r="U2" s="320">
        <v>2025</v>
      </c>
      <c r="V2" s="320">
        <v>2026</v>
      </c>
      <c r="W2" s="320">
        <v>2027</v>
      </c>
      <c r="X2" s="320">
        <v>2028</v>
      </c>
      <c r="Y2" s="137" t="s">
        <v>29</v>
      </c>
      <c r="Z2" s="137" t="s">
        <v>30</v>
      </c>
      <c r="AA2" s="137" t="s">
        <v>31</v>
      </c>
      <c r="AB2" s="28" t="s">
        <v>32</v>
      </c>
    </row>
    <row r="3" spans="1:28" s="50" customFormat="1" ht="42" customHeight="1">
      <c r="A3" s="249">
        <v>1</v>
      </c>
      <c r="B3" s="243">
        <v>286</v>
      </c>
      <c r="C3" s="243" t="s">
        <v>45</v>
      </c>
      <c r="D3" s="243" t="s">
        <v>215</v>
      </c>
      <c r="E3" s="243">
        <v>2002063</v>
      </c>
      <c r="F3" s="243" t="s">
        <v>50</v>
      </c>
      <c r="G3" s="198" t="s">
        <v>112</v>
      </c>
      <c r="H3" s="246" t="s">
        <v>49</v>
      </c>
      <c r="I3" s="247">
        <v>1.1739999999999999</v>
      </c>
      <c r="J3" s="243" t="s">
        <v>113</v>
      </c>
      <c r="K3" s="252">
        <v>2301966.61</v>
      </c>
      <c r="L3" s="251">
        <v>1611376.63</v>
      </c>
      <c r="M3" s="252">
        <v>690589.98</v>
      </c>
      <c r="N3" s="164">
        <v>0.7</v>
      </c>
      <c r="O3" s="253">
        <v>0</v>
      </c>
      <c r="P3" s="263">
        <v>247151.13</v>
      </c>
      <c r="Q3" s="263">
        <v>659366.06000000006</v>
      </c>
      <c r="R3" s="253">
        <v>704859.44</v>
      </c>
      <c r="S3" s="162"/>
      <c r="T3" s="162"/>
      <c r="U3" s="162"/>
      <c r="V3" s="162"/>
      <c r="W3" s="162"/>
      <c r="X3" s="162"/>
      <c r="Y3" s="137" t="b">
        <f t="shared" ref="Y3:Y66" si="0">L3=SUM(O3:X3)</f>
        <v>1</v>
      </c>
      <c r="Z3" s="179">
        <f t="shared" ref="Z3:Z66" si="1">ROUND(L3/K3,4)</f>
        <v>0.7</v>
      </c>
      <c r="AA3" s="180" t="b">
        <f t="shared" ref="AA3:AA66" si="2">Z3=N3</f>
        <v>1</v>
      </c>
      <c r="AB3" s="180" t="b">
        <f t="shared" ref="AB3:AB34" si="3">K3=L3+M3</f>
        <v>1</v>
      </c>
    </row>
    <row r="4" spans="1:28" s="50" customFormat="1" ht="37.5" customHeight="1">
      <c r="A4" s="249">
        <v>2</v>
      </c>
      <c r="B4" s="243">
        <v>294</v>
      </c>
      <c r="C4" s="243" t="s">
        <v>45</v>
      </c>
      <c r="D4" s="243" t="s">
        <v>216</v>
      </c>
      <c r="E4" s="243">
        <v>2002063</v>
      </c>
      <c r="F4" s="243" t="s">
        <v>50</v>
      </c>
      <c r="G4" s="198" t="s">
        <v>68</v>
      </c>
      <c r="H4" s="246" t="s">
        <v>48</v>
      </c>
      <c r="I4" s="247">
        <v>1.1379999999999999</v>
      </c>
      <c r="J4" s="243" t="s">
        <v>114</v>
      </c>
      <c r="K4" s="252">
        <v>3832058.4</v>
      </c>
      <c r="L4" s="251">
        <v>2682440.88</v>
      </c>
      <c r="M4" s="252">
        <v>1149617.52</v>
      </c>
      <c r="N4" s="164">
        <v>0.7</v>
      </c>
      <c r="O4" s="253">
        <v>0</v>
      </c>
      <c r="P4" s="263">
        <v>306757.84999999998</v>
      </c>
      <c r="Q4" s="263">
        <v>1221699.07</v>
      </c>
      <c r="R4" s="253">
        <v>1153983.96</v>
      </c>
      <c r="S4" s="162"/>
      <c r="T4" s="162"/>
      <c r="U4" s="162"/>
      <c r="V4" s="162"/>
      <c r="W4" s="162"/>
      <c r="X4" s="162"/>
      <c r="Y4" s="137" t="b">
        <f t="shared" si="0"/>
        <v>1</v>
      </c>
      <c r="Z4" s="179">
        <f t="shared" si="1"/>
        <v>0.7</v>
      </c>
      <c r="AA4" s="180" t="b">
        <f t="shared" si="2"/>
        <v>1</v>
      </c>
      <c r="AB4" s="180" t="b">
        <f t="shared" si="3"/>
        <v>1</v>
      </c>
    </row>
    <row r="5" spans="1:28" s="50" customFormat="1" ht="37.5" customHeight="1">
      <c r="A5" s="249">
        <v>3</v>
      </c>
      <c r="B5" s="243">
        <v>218</v>
      </c>
      <c r="C5" s="243" t="s">
        <v>45</v>
      </c>
      <c r="D5" s="243" t="s">
        <v>516</v>
      </c>
      <c r="E5" s="243">
        <v>2004011</v>
      </c>
      <c r="F5" s="243" t="s">
        <v>52</v>
      </c>
      <c r="G5" s="250" t="s">
        <v>87</v>
      </c>
      <c r="H5" s="246" t="s">
        <v>49</v>
      </c>
      <c r="I5" s="247">
        <v>2.0409999999999999</v>
      </c>
      <c r="J5" s="262" t="s">
        <v>517</v>
      </c>
      <c r="K5" s="252">
        <v>9181503.4299999997</v>
      </c>
      <c r="L5" s="251">
        <v>5940452.1799999997</v>
      </c>
      <c r="M5" s="252">
        <f t="shared" ref="M5:M34" si="4">K5-L5</f>
        <v>3241051.25</v>
      </c>
      <c r="N5" s="164">
        <f>L5/K5</f>
        <v>0.6470021195646386</v>
      </c>
      <c r="O5" s="253">
        <v>0</v>
      </c>
      <c r="P5" s="253">
        <v>0</v>
      </c>
      <c r="Q5" s="263">
        <v>1554699.9</v>
      </c>
      <c r="R5" s="263">
        <v>2294693.83</v>
      </c>
      <c r="S5" s="253">
        <v>2091058.45</v>
      </c>
      <c r="T5" s="162"/>
      <c r="U5" s="162"/>
      <c r="V5" s="162"/>
      <c r="W5" s="162"/>
      <c r="X5" s="162"/>
      <c r="Y5" s="137" t="b">
        <f t="shared" si="0"/>
        <v>1</v>
      </c>
      <c r="Z5" s="179">
        <f t="shared" si="1"/>
        <v>0.64700000000000002</v>
      </c>
      <c r="AA5" s="180" t="b">
        <f t="shared" si="2"/>
        <v>0</v>
      </c>
      <c r="AB5" s="180" t="b">
        <f t="shared" si="3"/>
        <v>1</v>
      </c>
    </row>
    <row r="6" spans="1:28" s="50" customFormat="1" ht="37.5" customHeight="1">
      <c r="A6" s="249">
        <v>4</v>
      </c>
      <c r="B6" s="243">
        <v>109</v>
      </c>
      <c r="C6" s="243" t="s">
        <v>45</v>
      </c>
      <c r="D6" s="243" t="s">
        <v>213</v>
      </c>
      <c r="E6" s="243">
        <v>2013011</v>
      </c>
      <c r="F6" s="243" t="s">
        <v>55</v>
      </c>
      <c r="G6" s="250" t="s">
        <v>88</v>
      </c>
      <c r="H6" s="246" t="s">
        <v>48</v>
      </c>
      <c r="I6" s="247">
        <v>0.96299999999999997</v>
      </c>
      <c r="J6" s="262" t="s">
        <v>89</v>
      </c>
      <c r="K6" s="252">
        <v>11816965.52</v>
      </c>
      <c r="L6" s="251">
        <f>ROUNDDOWN(K6*N6,2)</f>
        <v>5908482.7599999998</v>
      </c>
      <c r="M6" s="252">
        <f t="shared" si="4"/>
        <v>5908482.7599999998</v>
      </c>
      <c r="N6" s="164">
        <v>0.5</v>
      </c>
      <c r="O6" s="253">
        <v>0</v>
      </c>
      <c r="P6" s="253">
        <v>0</v>
      </c>
      <c r="Q6" s="263">
        <v>1584821.7</v>
      </c>
      <c r="R6" s="263">
        <v>2377232.5499999998</v>
      </c>
      <c r="S6" s="253">
        <v>1946428.51</v>
      </c>
      <c r="T6" s="162"/>
      <c r="U6" s="162"/>
      <c r="V6" s="162"/>
      <c r="W6" s="162"/>
      <c r="X6" s="162"/>
      <c r="Y6" s="137" t="b">
        <f t="shared" si="0"/>
        <v>1</v>
      </c>
      <c r="Z6" s="179">
        <f t="shared" si="1"/>
        <v>0.5</v>
      </c>
      <c r="AA6" s="180" t="b">
        <f t="shared" si="2"/>
        <v>1</v>
      </c>
      <c r="AB6" s="180" t="b">
        <f t="shared" si="3"/>
        <v>1</v>
      </c>
    </row>
    <row r="7" spans="1:28" s="50" customFormat="1" ht="37.5" customHeight="1">
      <c r="A7" s="249">
        <v>5</v>
      </c>
      <c r="B7" s="243">
        <v>315</v>
      </c>
      <c r="C7" s="243" t="s">
        <v>45</v>
      </c>
      <c r="D7" s="243" t="s">
        <v>235</v>
      </c>
      <c r="E7" s="243">
        <v>2008013</v>
      </c>
      <c r="F7" s="243" t="s">
        <v>56</v>
      </c>
      <c r="G7" s="250" t="s">
        <v>92</v>
      </c>
      <c r="H7" s="246" t="s">
        <v>48</v>
      </c>
      <c r="I7" s="247">
        <v>0.74895</v>
      </c>
      <c r="J7" s="262" t="s">
        <v>212</v>
      </c>
      <c r="K7" s="252">
        <v>1421464.99</v>
      </c>
      <c r="L7" s="251">
        <f>ROUNDDOWN(K7*N7,2)</f>
        <v>710732.49</v>
      </c>
      <c r="M7" s="252">
        <f t="shared" si="4"/>
        <v>710732.5</v>
      </c>
      <c r="N7" s="164">
        <v>0.5</v>
      </c>
      <c r="O7" s="253">
        <v>0</v>
      </c>
      <c r="P7" s="253">
        <v>0</v>
      </c>
      <c r="Q7" s="254">
        <v>1185.44</v>
      </c>
      <c r="R7" s="254">
        <v>3402.5</v>
      </c>
      <c r="S7" s="254">
        <v>706144.55</v>
      </c>
      <c r="T7" s="162"/>
      <c r="U7" s="162"/>
      <c r="V7" s="162"/>
      <c r="W7" s="162"/>
      <c r="X7" s="162"/>
      <c r="Y7" s="137" t="b">
        <f t="shared" si="0"/>
        <v>1</v>
      </c>
      <c r="Z7" s="179">
        <f t="shared" si="1"/>
        <v>0.5</v>
      </c>
      <c r="AA7" s="180" t="b">
        <f t="shared" si="2"/>
        <v>1</v>
      </c>
      <c r="AB7" s="180" t="b">
        <f t="shared" si="3"/>
        <v>1</v>
      </c>
    </row>
    <row r="8" spans="1:28" s="50" customFormat="1" ht="37.5" customHeight="1">
      <c r="A8" s="249">
        <v>6</v>
      </c>
      <c r="B8" s="243">
        <v>250</v>
      </c>
      <c r="C8" s="243" t="s">
        <v>45</v>
      </c>
      <c r="D8" s="243" t="s">
        <v>236</v>
      </c>
      <c r="E8" s="243">
        <v>2012022</v>
      </c>
      <c r="F8" s="243" t="s">
        <v>54</v>
      </c>
      <c r="G8" s="250" t="s">
        <v>94</v>
      </c>
      <c r="H8" s="246" t="s">
        <v>48</v>
      </c>
      <c r="I8" s="247">
        <v>1.80603</v>
      </c>
      <c r="J8" s="262" t="s">
        <v>117</v>
      </c>
      <c r="K8" s="252">
        <v>1814507.58</v>
      </c>
      <c r="L8" s="251">
        <f>ROUNDDOWN(K8*N8,2)</f>
        <v>907253.79</v>
      </c>
      <c r="M8" s="252">
        <f t="shared" si="4"/>
        <v>907253.79</v>
      </c>
      <c r="N8" s="164">
        <v>0.5</v>
      </c>
      <c r="O8" s="253">
        <v>0</v>
      </c>
      <c r="P8" s="253">
        <v>0</v>
      </c>
      <c r="Q8" s="253">
        <v>64777.919999999998</v>
      </c>
      <c r="R8" s="263">
        <v>323708.15000000002</v>
      </c>
      <c r="S8" s="253">
        <v>518767.72</v>
      </c>
      <c r="T8" s="162"/>
      <c r="U8" s="162"/>
      <c r="V8" s="162"/>
      <c r="W8" s="162"/>
      <c r="X8" s="162"/>
      <c r="Y8" s="137" t="b">
        <f t="shared" si="0"/>
        <v>1</v>
      </c>
      <c r="Z8" s="179">
        <f t="shared" si="1"/>
        <v>0.5</v>
      </c>
      <c r="AA8" s="180" t="b">
        <f t="shared" si="2"/>
        <v>1</v>
      </c>
      <c r="AB8" s="180" t="b">
        <f t="shared" si="3"/>
        <v>1</v>
      </c>
    </row>
    <row r="9" spans="1:28" s="50" customFormat="1" ht="41.25" customHeight="1">
      <c r="A9" s="249">
        <v>7</v>
      </c>
      <c r="B9" s="243">
        <v>383</v>
      </c>
      <c r="C9" s="243" t="s">
        <v>45</v>
      </c>
      <c r="D9" s="243" t="s">
        <v>214</v>
      </c>
      <c r="E9" s="243">
        <v>2004022</v>
      </c>
      <c r="F9" s="243" t="s">
        <v>52</v>
      </c>
      <c r="G9" s="250" t="s">
        <v>98</v>
      </c>
      <c r="H9" s="246" t="s">
        <v>49</v>
      </c>
      <c r="I9" s="247">
        <v>0.38040000000000002</v>
      </c>
      <c r="J9" s="262" t="s">
        <v>116</v>
      </c>
      <c r="K9" s="252">
        <v>541871.18999999994</v>
      </c>
      <c r="L9" s="251">
        <f>ROUNDDOWN(K9*N9,2)</f>
        <v>270935.59000000003</v>
      </c>
      <c r="M9" s="252">
        <f t="shared" si="4"/>
        <v>270935.59999999992</v>
      </c>
      <c r="N9" s="164">
        <v>0.5</v>
      </c>
      <c r="O9" s="253">
        <v>0</v>
      </c>
      <c r="P9" s="253">
        <v>0</v>
      </c>
      <c r="Q9" s="263">
        <v>677.34</v>
      </c>
      <c r="R9" s="263">
        <v>80603.34</v>
      </c>
      <c r="S9" s="253">
        <v>189654.91</v>
      </c>
      <c r="T9" s="162"/>
      <c r="U9" s="162"/>
      <c r="V9" s="162"/>
      <c r="W9" s="162"/>
      <c r="X9" s="162"/>
      <c r="Y9" s="137" t="b">
        <f t="shared" si="0"/>
        <v>1</v>
      </c>
      <c r="Z9" s="179">
        <f t="shared" si="1"/>
        <v>0.5</v>
      </c>
      <c r="AA9" s="180" t="b">
        <f t="shared" si="2"/>
        <v>1</v>
      </c>
      <c r="AB9" s="180" t="b">
        <f t="shared" si="3"/>
        <v>1</v>
      </c>
    </row>
    <row r="10" spans="1:28" s="50" customFormat="1" ht="37.5" customHeight="1">
      <c r="A10" s="249">
        <v>8</v>
      </c>
      <c r="B10" s="243">
        <v>252</v>
      </c>
      <c r="C10" s="243" t="s">
        <v>45</v>
      </c>
      <c r="D10" s="243" t="s">
        <v>236</v>
      </c>
      <c r="E10" s="243">
        <v>2012022</v>
      </c>
      <c r="F10" s="243" t="s">
        <v>54</v>
      </c>
      <c r="G10" s="250" t="s">
        <v>102</v>
      </c>
      <c r="H10" s="246" t="s">
        <v>48</v>
      </c>
      <c r="I10" s="247">
        <v>2.8</v>
      </c>
      <c r="J10" s="262" t="s">
        <v>237</v>
      </c>
      <c r="K10" s="269">
        <v>3136349</v>
      </c>
      <c r="L10" s="270">
        <f>ROUNDDOWN(K10*N10,2)</f>
        <v>1568174.5</v>
      </c>
      <c r="M10" s="269">
        <f t="shared" si="4"/>
        <v>1568174.5</v>
      </c>
      <c r="N10" s="164">
        <v>0.5</v>
      </c>
      <c r="O10" s="253">
        <v>0</v>
      </c>
      <c r="P10" s="253">
        <v>0</v>
      </c>
      <c r="Q10" s="254">
        <v>42967.98</v>
      </c>
      <c r="R10" s="254">
        <v>663814.03</v>
      </c>
      <c r="S10" s="254">
        <v>663814.03</v>
      </c>
      <c r="T10" s="214">
        <v>197578.46</v>
      </c>
      <c r="U10" s="162"/>
      <c r="V10" s="162"/>
      <c r="W10" s="162"/>
      <c r="X10" s="162"/>
      <c r="Y10" s="137" t="b">
        <f t="shared" si="0"/>
        <v>1</v>
      </c>
      <c r="Z10" s="179">
        <f t="shared" si="1"/>
        <v>0.5</v>
      </c>
      <c r="AA10" s="180" t="b">
        <f t="shared" si="2"/>
        <v>1</v>
      </c>
      <c r="AB10" s="180" t="b">
        <f t="shared" si="3"/>
        <v>1</v>
      </c>
    </row>
    <row r="11" spans="1:28" s="51" customFormat="1" ht="37.5" customHeight="1">
      <c r="A11" s="249">
        <v>9</v>
      </c>
      <c r="B11" s="243">
        <v>355</v>
      </c>
      <c r="C11" s="243" t="s">
        <v>45</v>
      </c>
      <c r="D11" s="243" t="s">
        <v>518</v>
      </c>
      <c r="E11" s="248">
        <v>2011072</v>
      </c>
      <c r="F11" s="243" t="s">
        <v>51</v>
      </c>
      <c r="G11" s="250" t="s">
        <v>238</v>
      </c>
      <c r="H11" s="246" t="s">
        <v>49</v>
      </c>
      <c r="I11" s="247">
        <v>4.3</v>
      </c>
      <c r="J11" s="262" t="s">
        <v>519</v>
      </c>
      <c r="K11" s="252">
        <v>7180452</v>
      </c>
      <c r="L11" s="251">
        <v>3760400</v>
      </c>
      <c r="M11" s="252">
        <f t="shared" si="4"/>
        <v>3420052</v>
      </c>
      <c r="N11" s="164">
        <f>L11/K11</f>
        <v>0.52369962225219246</v>
      </c>
      <c r="O11" s="253">
        <v>0</v>
      </c>
      <c r="P11" s="253">
        <v>0</v>
      </c>
      <c r="Q11" s="254">
        <v>0</v>
      </c>
      <c r="R11" s="253">
        <v>3725400</v>
      </c>
      <c r="S11" s="253">
        <v>35000</v>
      </c>
      <c r="T11" s="162"/>
      <c r="U11" s="162"/>
      <c r="V11" s="162"/>
      <c r="W11" s="162"/>
      <c r="X11" s="162"/>
      <c r="Y11" s="137" t="b">
        <f t="shared" si="0"/>
        <v>1</v>
      </c>
      <c r="Z11" s="179">
        <f t="shared" si="1"/>
        <v>0.52370000000000005</v>
      </c>
      <c r="AA11" s="180" t="b">
        <f t="shared" si="2"/>
        <v>0</v>
      </c>
      <c r="AB11" s="180" t="b">
        <f t="shared" si="3"/>
        <v>1</v>
      </c>
    </row>
    <row r="12" spans="1:28" s="50" customFormat="1" ht="37.5" customHeight="1">
      <c r="A12" s="249">
        <v>10</v>
      </c>
      <c r="B12" s="243">
        <v>300</v>
      </c>
      <c r="C12" s="243" t="s">
        <v>45</v>
      </c>
      <c r="D12" s="243" t="s">
        <v>215</v>
      </c>
      <c r="E12" s="248">
        <v>2002063</v>
      </c>
      <c r="F12" s="243" t="s">
        <v>50</v>
      </c>
      <c r="G12" s="250" t="s">
        <v>164</v>
      </c>
      <c r="H12" s="246" t="s">
        <v>49</v>
      </c>
      <c r="I12" s="247">
        <v>0.16</v>
      </c>
      <c r="J12" s="262" t="s">
        <v>520</v>
      </c>
      <c r="K12" s="252">
        <v>1492062.2</v>
      </c>
      <c r="L12" s="251">
        <f>ROUNDDOWN(K12*N12,2)</f>
        <v>895237.32</v>
      </c>
      <c r="M12" s="252">
        <f t="shared" si="4"/>
        <v>596824.88</v>
      </c>
      <c r="N12" s="164">
        <v>0.6</v>
      </c>
      <c r="O12" s="253">
        <v>0</v>
      </c>
      <c r="P12" s="253">
        <v>0</v>
      </c>
      <c r="Q12" s="254">
        <v>0</v>
      </c>
      <c r="R12" s="253">
        <v>533420.85</v>
      </c>
      <c r="S12" s="253">
        <v>361816.47</v>
      </c>
      <c r="T12" s="253"/>
      <c r="U12" s="162"/>
      <c r="V12" s="162"/>
      <c r="W12" s="162"/>
      <c r="X12" s="162"/>
      <c r="Y12" s="137" t="b">
        <f t="shared" si="0"/>
        <v>1</v>
      </c>
      <c r="Z12" s="179">
        <f t="shared" si="1"/>
        <v>0.6</v>
      </c>
      <c r="AA12" s="180" t="b">
        <f t="shared" si="2"/>
        <v>1</v>
      </c>
      <c r="AB12" s="180" t="b">
        <f t="shared" si="3"/>
        <v>1</v>
      </c>
    </row>
    <row r="13" spans="1:28" s="52" customFormat="1" ht="37.5" customHeight="1">
      <c r="A13" s="249">
        <v>11</v>
      </c>
      <c r="B13" s="243">
        <v>299</v>
      </c>
      <c r="C13" s="243" t="s">
        <v>45</v>
      </c>
      <c r="D13" s="243" t="s">
        <v>163</v>
      </c>
      <c r="E13" s="248">
        <v>2002063</v>
      </c>
      <c r="F13" s="243" t="s">
        <v>50</v>
      </c>
      <c r="G13" s="250" t="s">
        <v>168</v>
      </c>
      <c r="H13" s="246" t="s">
        <v>49</v>
      </c>
      <c r="I13" s="247">
        <v>0.67</v>
      </c>
      <c r="J13" s="262" t="s">
        <v>169</v>
      </c>
      <c r="K13" s="252">
        <v>2832000</v>
      </c>
      <c r="L13" s="251">
        <f>ROUNDDOWN(K13*N13,2)</f>
        <v>1699200</v>
      </c>
      <c r="M13" s="252">
        <f t="shared" si="4"/>
        <v>1132800</v>
      </c>
      <c r="N13" s="164">
        <v>0.6</v>
      </c>
      <c r="O13" s="253">
        <v>0</v>
      </c>
      <c r="P13" s="253">
        <v>0</v>
      </c>
      <c r="Q13" s="254">
        <v>0</v>
      </c>
      <c r="R13" s="253">
        <f>32000*N13</f>
        <v>19200</v>
      </c>
      <c r="S13" s="253">
        <f>800000*N13</f>
        <v>480000</v>
      </c>
      <c r="T13" s="253">
        <f>2000000*N13</f>
        <v>1200000</v>
      </c>
      <c r="U13" s="162"/>
      <c r="V13" s="162"/>
      <c r="W13" s="162"/>
      <c r="X13" s="162"/>
      <c r="Y13" s="137" t="b">
        <f t="shared" si="0"/>
        <v>1</v>
      </c>
      <c r="Z13" s="179">
        <f t="shared" si="1"/>
        <v>0.6</v>
      </c>
      <c r="AA13" s="180" t="b">
        <f t="shared" si="2"/>
        <v>1</v>
      </c>
      <c r="AB13" s="180" t="b">
        <f t="shared" si="3"/>
        <v>1</v>
      </c>
    </row>
    <row r="14" spans="1:28" s="52" customFormat="1" ht="37.5" customHeight="1">
      <c r="A14" s="249">
        <v>12</v>
      </c>
      <c r="B14" s="243">
        <v>354</v>
      </c>
      <c r="C14" s="243" t="s">
        <v>45</v>
      </c>
      <c r="D14" s="243" t="s">
        <v>234</v>
      </c>
      <c r="E14" s="248">
        <v>2004011</v>
      </c>
      <c r="F14" s="243" t="s">
        <v>52</v>
      </c>
      <c r="G14" s="250" t="s">
        <v>170</v>
      </c>
      <c r="H14" s="246" t="s">
        <v>49</v>
      </c>
      <c r="I14" s="247">
        <v>0.98199999999999998</v>
      </c>
      <c r="J14" s="262" t="s">
        <v>239</v>
      </c>
      <c r="K14" s="252">
        <v>5650943.2199999997</v>
      </c>
      <c r="L14" s="251">
        <v>904892.17</v>
      </c>
      <c r="M14" s="252">
        <f t="shared" si="4"/>
        <v>4746051.05</v>
      </c>
      <c r="N14" s="164">
        <f>L14/K14</f>
        <v>0.16013117364148635</v>
      </c>
      <c r="O14" s="253">
        <v>0</v>
      </c>
      <c r="P14" s="253">
        <v>0</v>
      </c>
      <c r="Q14" s="254">
        <v>0</v>
      </c>
      <c r="R14" s="253">
        <v>267897.99</v>
      </c>
      <c r="S14" s="253">
        <v>332706.43</v>
      </c>
      <c r="T14" s="253">
        <v>304287.75</v>
      </c>
      <c r="U14" s="162"/>
      <c r="V14" s="162"/>
      <c r="W14" s="162"/>
      <c r="X14" s="162"/>
      <c r="Y14" s="137" t="b">
        <f t="shared" si="0"/>
        <v>1</v>
      </c>
      <c r="Z14" s="179">
        <f t="shared" si="1"/>
        <v>0.16009999999999999</v>
      </c>
      <c r="AA14" s="180" t="b">
        <f t="shared" si="2"/>
        <v>0</v>
      </c>
      <c r="AB14" s="180" t="b">
        <f t="shared" si="3"/>
        <v>1</v>
      </c>
    </row>
    <row r="15" spans="1:28" s="52" customFormat="1" ht="37.5" customHeight="1">
      <c r="A15" s="249">
        <v>13</v>
      </c>
      <c r="B15" s="243">
        <v>289</v>
      </c>
      <c r="C15" s="243" t="s">
        <v>45</v>
      </c>
      <c r="D15" s="243" t="s">
        <v>215</v>
      </c>
      <c r="E15" s="248">
        <v>2002063</v>
      </c>
      <c r="F15" s="243" t="s">
        <v>50</v>
      </c>
      <c r="G15" s="250" t="s">
        <v>171</v>
      </c>
      <c r="H15" s="246" t="s">
        <v>49</v>
      </c>
      <c r="I15" s="247">
        <v>0.42299999999999999</v>
      </c>
      <c r="J15" s="262" t="s">
        <v>240</v>
      </c>
      <c r="K15" s="252">
        <v>2802254.64</v>
      </c>
      <c r="L15" s="251">
        <f>ROUNDDOWN(K15*N15,2)</f>
        <v>1681352.78</v>
      </c>
      <c r="M15" s="252">
        <f t="shared" si="4"/>
        <v>1120901.8600000001</v>
      </c>
      <c r="N15" s="164">
        <v>0.6</v>
      </c>
      <c r="O15" s="253">
        <v>0</v>
      </c>
      <c r="P15" s="253">
        <v>0</v>
      </c>
      <c r="Q15" s="254">
        <v>0</v>
      </c>
      <c r="R15" s="253">
        <v>531760.24</v>
      </c>
      <c r="S15" s="253">
        <v>574796.27</v>
      </c>
      <c r="T15" s="253">
        <v>574796.27</v>
      </c>
      <c r="U15" s="162"/>
      <c r="V15" s="162"/>
      <c r="W15" s="162"/>
      <c r="X15" s="162"/>
      <c r="Y15" s="137" t="b">
        <f t="shared" si="0"/>
        <v>1</v>
      </c>
      <c r="Z15" s="179">
        <f t="shared" si="1"/>
        <v>0.6</v>
      </c>
      <c r="AA15" s="180" t="b">
        <f t="shared" si="2"/>
        <v>1</v>
      </c>
      <c r="AB15" s="180" t="b">
        <f t="shared" si="3"/>
        <v>1</v>
      </c>
    </row>
    <row r="16" spans="1:28" s="52" customFormat="1" ht="37.5" customHeight="1">
      <c r="A16" s="249">
        <v>14</v>
      </c>
      <c r="B16" s="243">
        <v>234</v>
      </c>
      <c r="C16" s="243" t="s">
        <v>45</v>
      </c>
      <c r="D16" s="243" t="s">
        <v>241</v>
      </c>
      <c r="E16" s="248">
        <v>2012022</v>
      </c>
      <c r="F16" s="243" t="s">
        <v>54</v>
      </c>
      <c r="G16" s="250" t="s">
        <v>172</v>
      </c>
      <c r="H16" s="249" t="s">
        <v>48</v>
      </c>
      <c r="I16" s="249">
        <v>0.32100000000000001</v>
      </c>
      <c r="J16" s="243" t="s">
        <v>242</v>
      </c>
      <c r="K16" s="252">
        <v>1153400</v>
      </c>
      <c r="L16" s="251">
        <v>528851</v>
      </c>
      <c r="M16" s="252">
        <f t="shared" si="4"/>
        <v>624549</v>
      </c>
      <c r="N16" s="164">
        <f>ROUND(L16/K16,4)</f>
        <v>0.45850000000000002</v>
      </c>
      <c r="O16" s="253">
        <v>0</v>
      </c>
      <c r="P16" s="253">
        <v>0</v>
      </c>
      <c r="Q16" s="254">
        <v>0</v>
      </c>
      <c r="R16" s="253">
        <v>27675</v>
      </c>
      <c r="S16" s="253">
        <v>450000</v>
      </c>
      <c r="T16" s="253">
        <v>51176</v>
      </c>
      <c r="U16" s="162"/>
      <c r="V16" s="162"/>
      <c r="W16" s="162"/>
      <c r="X16" s="162"/>
      <c r="Y16" s="137" t="b">
        <f t="shared" si="0"/>
        <v>1</v>
      </c>
      <c r="Z16" s="179">
        <f t="shared" si="1"/>
        <v>0.45850000000000002</v>
      </c>
      <c r="AA16" s="180" t="b">
        <f t="shared" si="2"/>
        <v>1</v>
      </c>
      <c r="AB16" s="180" t="b">
        <f t="shared" si="3"/>
        <v>1</v>
      </c>
    </row>
    <row r="17" spans="1:28" s="52" customFormat="1" ht="37.5" customHeight="1">
      <c r="A17" s="249">
        <v>15</v>
      </c>
      <c r="B17" s="243">
        <v>281</v>
      </c>
      <c r="C17" s="243" t="s">
        <v>45</v>
      </c>
      <c r="D17" s="243" t="s">
        <v>521</v>
      </c>
      <c r="E17" s="248">
        <v>2007043</v>
      </c>
      <c r="F17" s="243" t="s">
        <v>58</v>
      </c>
      <c r="G17" s="250" t="s">
        <v>174</v>
      </c>
      <c r="H17" s="246" t="s">
        <v>49</v>
      </c>
      <c r="I17" s="247">
        <v>0.72299999999999998</v>
      </c>
      <c r="J17" s="262" t="s">
        <v>522</v>
      </c>
      <c r="K17" s="252">
        <v>1078180.95</v>
      </c>
      <c r="L17" s="251">
        <f>ROUNDDOWN(K17*N17,2)</f>
        <v>539090.47</v>
      </c>
      <c r="M17" s="252">
        <f t="shared" si="4"/>
        <v>539090.48</v>
      </c>
      <c r="N17" s="164">
        <v>0.5</v>
      </c>
      <c r="O17" s="253">
        <v>0</v>
      </c>
      <c r="P17" s="253">
        <v>0</v>
      </c>
      <c r="Q17" s="254">
        <v>0</v>
      </c>
      <c r="R17" s="253">
        <v>935</v>
      </c>
      <c r="S17" s="253">
        <v>538155.47</v>
      </c>
      <c r="T17" s="253"/>
      <c r="U17" s="162"/>
      <c r="V17" s="162"/>
      <c r="W17" s="162"/>
      <c r="X17" s="162"/>
      <c r="Y17" s="137" t="b">
        <f t="shared" si="0"/>
        <v>1</v>
      </c>
      <c r="Z17" s="179">
        <f t="shared" si="1"/>
        <v>0.5</v>
      </c>
      <c r="AA17" s="180" t="b">
        <f t="shared" si="2"/>
        <v>1</v>
      </c>
      <c r="AB17" s="180" t="b">
        <f t="shared" si="3"/>
        <v>1</v>
      </c>
    </row>
    <row r="18" spans="1:28" ht="37.5" customHeight="1">
      <c r="A18" s="249">
        <v>16</v>
      </c>
      <c r="B18" s="243">
        <v>132</v>
      </c>
      <c r="C18" s="243" t="s">
        <v>45</v>
      </c>
      <c r="D18" s="243" t="s">
        <v>243</v>
      </c>
      <c r="E18" s="243">
        <v>2002013</v>
      </c>
      <c r="F18" s="243" t="s">
        <v>50</v>
      </c>
      <c r="G18" s="250" t="s">
        <v>175</v>
      </c>
      <c r="H18" s="246" t="s">
        <v>48</v>
      </c>
      <c r="I18" s="247">
        <v>1.579</v>
      </c>
      <c r="J18" s="262" t="s">
        <v>244</v>
      </c>
      <c r="K18" s="252">
        <v>10708071.380000001</v>
      </c>
      <c r="L18" s="251">
        <v>4991662.2</v>
      </c>
      <c r="M18" s="252">
        <f t="shared" si="4"/>
        <v>5716409.1800000006</v>
      </c>
      <c r="N18" s="164">
        <f>L18/K18</f>
        <v>0.466158846244075</v>
      </c>
      <c r="O18" s="253">
        <v>0</v>
      </c>
      <c r="P18" s="253">
        <v>0</v>
      </c>
      <c r="Q18" s="254">
        <v>0</v>
      </c>
      <c r="R18" s="253">
        <v>127500</v>
      </c>
      <c r="S18" s="253">
        <v>4864162.2</v>
      </c>
      <c r="T18" s="253"/>
      <c r="U18" s="199"/>
      <c r="V18" s="199"/>
      <c r="W18" s="199"/>
      <c r="X18" s="207"/>
      <c r="Y18" s="137" t="b">
        <f t="shared" si="0"/>
        <v>1</v>
      </c>
      <c r="Z18" s="179">
        <f t="shared" si="1"/>
        <v>0.4662</v>
      </c>
      <c r="AA18" s="180" t="b">
        <f t="shared" si="2"/>
        <v>0</v>
      </c>
      <c r="AB18" s="180" t="b">
        <f t="shared" si="3"/>
        <v>1</v>
      </c>
    </row>
    <row r="19" spans="1:28" ht="37.5" customHeight="1">
      <c r="A19" s="249">
        <v>17</v>
      </c>
      <c r="B19" s="243">
        <v>273</v>
      </c>
      <c r="C19" s="243" t="s">
        <v>45</v>
      </c>
      <c r="D19" s="243" t="s">
        <v>245</v>
      </c>
      <c r="E19" s="248">
        <v>2010023</v>
      </c>
      <c r="F19" s="243" t="s">
        <v>59</v>
      </c>
      <c r="G19" s="250" t="s">
        <v>177</v>
      </c>
      <c r="H19" s="246" t="s">
        <v>49</v>
      </c>
      <c r="I19" s="247">
        <v>2.1</v>
      </c>
      <c r="J19" s="262" t="s">
        <v>147</v>
      </c>
      <c r="K19" s="252">
        <v>3199078.06</v>
      </c>
      <c r="L19" s="251">
        <v>1495500</v>
      </c>
      <c r="M19" s="252">
        <f t="shared" si="4"/>
        <v>1703578.06</v>
      </c>
      <c r="N19" s="164">
        <f>ROUND(L19/K19,4)</f>
        <v>0.46750000000000003</v>
      </c>
      <c r="O19" s="253">
        <v>0</v>
      </c>
      <c r="P19" s="253">
        <v>0</v>
      </c>
      <c r="Q19" s="254">
        <v>0</v>
      </c>
      <c r="R19" s="253">
        <v>500000</v>
      </c>
      <c r="S19" s="253">
        <v>995500</v>
      </c>
      <c r="T19" s="253"/>
      <c r="U19" s="199"/>
      <c r="V19" s="199"/>
      <c r="W19" s="199"/>
      <c r="X19" s="207"/>
      <c r="Y19" s="137" t="b">
        <f t="shared" si="0"/>
        <v>1</v>
      </c>
      <c r="Z19" s="179">
        <f t="shared" si="1"/>
        <v>0.46750000000000003</v>
      </c>
      <c r="AA19" s="180" t="b">
        <f t="shared" si="2"/>
        <v>1</v>
      </c>
      <c r="AB19" s="180" t="b">
        <f t="shared" si="3"/>
        <v>1</v>
      </c>
    </row>
    <row r="20" spans="1:28" ht="44.25" customHeight="1">
      <c r="A20" s="249">
        <v>18</v>
      </c>
      <c r="B20" s="243">
        <v>12</v>
      </c>
      <c r="C20" s="243" t="s">
        <v>45</v>
      </c>
      <c r="D20" s="243" t="s">
        <v>246</v>
      </c>
      <c r="E20" s="248">
        <v>2002032</v>
      </c>
      <c r="F20" s="243" t="s">
        <v>50</v>
      </c>
      <c r="G20" s="250" t="s">
        <v>247</v>
      </c>
      <c r="H20" s="243" t="s">
        <v>49</v>
      </c>
      <c r="I20" s="247">
        <v>1.43</v>
      </c>
      <c r="J20" s="243" t="s">
        <v>248</v>
      </c>
      <c r="K20" s="252">
        <v>2716209</v>
      </c>
      <c r="L20" s="251">
        <v>1232780</v>
      </c>
      <c r="M20" s="252">
        <f t="shared" si="4"/>
        <v>1483429</v>
      </c>
      <c r="N20" s="164">
        <f>ROUND(L20/K20,4)</f>
        <v>0.45390000000000003</v>
      </c>
      <c r="O20" s="253">
        <v>0</v>
      </c>
      <c r="P20" s="253">
        <v>0</v>
      </c>
      <c r="Q20" s="254">
        <v>0</v>
      </c>
      <c r="R20" s="263">
        <v>36900</v>
      </c>
      <c r="S20" s="263">
        <v>1195880</v>
      </c>
      <c r="T20" s="203"/>
      <c r="U20" s="199"/>
      <c r="V20" s="199"/>
      <c r="W20" s="199"/>
      <c r="X20" s="207"/>
      <c r="Y20" s="137" t="b">
        <f t="shared" si="0"/>
        <v>1</v>
      </c>
      <c r="Z20" s="179">
        <f t="shared" si="1"/>
        <v>0.45390000000000003</v>
      </c>
      <c r="AA20" s="180" t="b">
        <f t="shared" si="2"/>
        <v>1</v>
      </c>
      <c r="AB20" s="180" t="b">
        <f t="shared" si="3"/>
        <v>1</v>
      </c>
    </row>
    <row r="21" spans="1:28" ht="37.5" customHeight="1">
      <c r="A21" s="249">
        <v>19</v>
      </c>
      <c r="B21" s="243">
        <v>423</v>
      </c>
      <c r="C21" s="243" t="s">
        <v>45</v>
      </c>
      <c r="D21" s="243" t="s">
        <v>65</v>
      </c>
      <c r="E21" s="248">
        <v>2007022</v>
      </c>
      <c r="F21" s="243" t="s">
        <v>58</v>
      </c>
      <c r="G21" s="250" t="s">
        <v>178</v>
      </c>
      <c r="H21" s="246" t="s">
        <v>48</v>
      </c>
      <c r="I21" s="247">
        <v>0.48299999999999998</v>
      </c>
      <c r="J21" s="262" t="s">
        <v>179</v>
      </c>
      <c r="K21" s="252">
        <v>2946404</v>
      </c>
      <c r="L21" s="251">
        <f>ROUNDDOWN(K21*N21,2)</f>
        <v>1473202</v>
      </c>
      <c r="M21" s="252">
        <f t="shared" si="4"/>
        <v>1473202</v>
      </c>
      <c r="N21" s="164">
        <v>0.5</v>
      </c>
      <c r="O21" s="253">
        <v>0</v>
      </c>
      <c r="P21" s="253">
        <v>0</v>
      </c>
      <c r="Q21" s="254">
        <v>0</v>
      </c>
      <c r="R21" s="253">
        <f>200000*N21</f>
        <v>100000</v>
      </c>
      <c r="S21" s="253">
        <f>2746404*N21</f>
        <v>1373202</v>
      </c>
      <c r="T21" s="253"/>
      <c r="U21" s="199"/>
      <c r="V21" s="199"/>
      <c r="W21" s="199"/>
      <c r="X21" s="207"/>
      <c r="Y21" s="137" t="b">
        <f t="shared" si="0"/>
        <v>1</v>
      </c>
      <c r="Z21" s="179">
        <f t="shared" si="1"/>
        <v>0.5</v>
      </c>
      <c r="AA21" s="180" t="b">
        <f t="shared" si="2"/>
        <v>1</v>
      </c>
      <c r="AB21" s="180" t="b">
        <f t="shared" si="3"/>
        <v>1</v>
      </c>
    </row>
    <row r="22" spans="1:28" ht="37.5" customHeight="1">
      <c r="A22" s="249">
        <v>20</v>
      </c>
      <c r="B22" s="243">
        <v>367</v>
      </c>
      <c r="C22" s="243" t="s">
        <v>45</v>
      </c>
      <c r="D22" s="243" t="s">
        <v>523</v>
      </c>
      <c r="E22" s="248">
        <v>2014032</v>
      </c>
      <c r="F22" s="243" t="s">
        <v>57</v>
      </c>
      <c r="G22" s="250" t="s">
        <v>180</v>
      </c>
      <c r="H22" s="246" t="s">
        <v>49</v>
      </c>
      <c r="I22" s="247">
        <v>0.83199999999999996</v>
      </c>
      <c r="J22" s="262" t="s">
        <v>524</v>
      </c>
      <c r="K22" s="252">
        <v>1795827.6</v>
      </c>
      <c r="L22" s="251">
        <v>890000</v>
      </c>
      <c r="M22" s="252">
        <f t="shared" si="4"/>
        <v>905827.60000000009</v>
      </c>
      <c r="N22" s="164">
        <f>L22/K22</f>
        <v>0.49559322955054258</v>
      </c>
      <c r="O22" s="253">
        <v>0</v>
      </c>
      <c r="P22" s="253">
        <v>0</v>
      </c>
      <c r="Q22" s="254">
        <v>0</v>
      </c>
      <c r="R22" s="253">
        <v>25000</v>
      </c>
      <c r="S22" s="253">
        <v>865000</v>
      </c>
      <c r="T22" s="253"/>
      <c r="U22" s="259"/>
      <c r="V22" s="264"/>
      <c r="W22" s="199"/>
      <c r="X22" s="207"/>
      <c r="Y22" s="137" t="b">
        <f t="shared" si="0"/>
        <v>1</v>
      </c>
      <c r="Z22" s="179">
        <f t="shared" si="1"/>
        <v>0.49559999999999998</v>
      </c>
      <c r="AA22" s="180" t="b">
        <f t="shared" si="2"/>
        <v>0</v>
      </c>
      <c r="AB22" s="180" t="b">
        <f t="shared" si="3"/>
        <v>1</v>
      </c>
    </row>
    <row r="23" spans="1:28" ht="37.5" customHeight="1">
      <c r="A23" s="249">
        <v>21</v>
      </c>
      <c r="B23" s="243">
        <v>140</v>
      </c>
      <c r="C23" s="243" t="s">
        <v>45</v>
      </c>
      <c r="D23" s="243" t="s">
        <v>249</v>
      </c>
      <c r="E23" s="243">
        <v>2002013</v>
      </c>
      <c r="F23" s="243" t="s">
        <v>50</v>
      </c>
      <c r="G23" s="250" t="s">
        <v>181</v>
      </c>
      <c r="H23" s="246" t="s">
        <v>48</v>
      </c>
      <c r="I23" s="247">
        <v>0.61</v>
      </c>
      <c r="J23" s="262" t="s">
        <v>182</v>
      </c>
      <c r="K23" s="252">
        <v>2611474.87</v>
      </c>
      <c r="L23" s="251">
        <v>1416474.15</v>
      </c>
      <c r="M23" s="252">
        <f t="shared" si="4"/>
        <v>1195000.7200000002</v>
      </c>
      <c r="N23" s="164">
        <f>ROUND(L23/K23,4)</f>
        <v>0.54239999999999999</v>
      </c>
      <c r="O23" s="253">
        <v>0</v>
      </c>
      <c r="P23" s="253">
        <v>0</v>
      </c>
      <c r="Q23" s="254">
        <v>0</v>
      </c>
      <c r="R23" s="253">
        <v>400000</v>
      </c>
      <c r="S23" s="253">
        <v>1016474.15</v>
      </c>
      <c r="T23" s="253"/>
      <c r="U23" s="259"/>
      <c r="V23" s="264"/>
      <c r="W23" s="199"/>
      <c r="X23" s="207"/>
      <c r="Y23" s="137" t="b">
        <f t="shared" si="0"/>
        <v>1</v>
      </c>
      <c r="Z23" s="179">
        <f t="shared" si="1"/>
        <v>0.54239999999999999</v>
      </c>
      <c r="AA23" s="180" t="b">
        <f t="shared" si="2"/>
        <v>1</v>
      </c>
      <c r="AB23" s="180" t="b">
        <f t="shared" si="3"/>
        <v>1</v>
      </c>
    </row>
    <row r="24" spans="1:28" ht="37.5" customHeight="1">
      <c r="A24" s="249">
        <v>22</v>
      </c>
      <c r="B24" s="243">
        <v>86</v>
      </c>
      <c r="C24" s="243" t="s">
        <v>45</v>
      </c>
      <c r="D24" s="243" t="s">
        <v>250</v>
      </c>
      <c r="E24" s="248">
        <v>2013011</v>
      </c>
      <c r="F24" s="243" t="s">
        <v>55</v>
      </c>
      <c r="G24" s="250" t="s">
        <v>111</v>
      </c>
      <c r="H24" s="246" t="s">
        <v>46</v>
      </c>
      <c r="I24" s="184">
        <v>1.891</v>
      </c>
      <c r="J24" s="243" t="s">
        <v>251</v>
      </c>
      <c r="K24" s="252">
        <v>4867852.26</v>
      </c>
      <c r="L24" s="251">
        <v>2023120.5</v>
      </c>
      <c r="M24" s="252">
        <f t="shared" si="4"/>
        <v>2844731.76</v>
      </c>
      <c r="N24" s="164">
        <f>ROUND(L24/K24,4)</f>
        <v>0.41560000000000002</v>
      </c>
      <c r="O24" s="253">
        <v>0</v>
      </c>
      <c r="P24" s="253">
        <v>0</v>
      </c>
      <c r="Q24" s="254">
        <v>0</v>
      </c>
      <c r="R24" s="253">
        <v>900000</v>
      </c>
      <c r="S24" s="253">
        <v>1123120.5</v>
      </c>
      <c r="T24" s="253"/>
      <c r="U24" s="259"/>
      <c r="V24" s="264"/>
      <c r="W24" s="207"/>
      <c r="X24" s="207"/>
      <c r="Y24" s="137" t="b">
        <f t="shared" si="0"/>
        <v>1</v>
      </c>
      <c r="Z24" s="179">
        <f t="shared" si="1"/>
        <v>0.41560000000000002</v>
      </c>
      <c r="AA24" s="180" t="b">
        <f t="shared" si="2"/>
        <v>1</v>
      </c>
      <c r="AB24" s="180" t="b">
        <f t="shared" si="3"/>
        <v>1</v>
      </c>
    </row>
    <row r="25" spans="1:28" ht="37.5" customHeight="1">
      <c r="A25" s="249">
        <v>23</v>
      </c>
      <c r="B25" s="243">
        <v>21</v>
      </c>
      <c r="C25" s="243" t="s">
        <v>45</v>
      </c>
      <c r="D25" s="243" t="s">
        <v>525</v>
      </c>
      <c r="E25" s="248">
        <v>2002112</v>
      </c>
      <c r="F25" s="243" t="s">
        <v>50</v>
      </c>
      <c r="G25" s="250" t="s">
        <v>183</v>
      </c>
      <c r="H25" s="246" t="s">
        <v>49</v>
      </c>
      <c r="I25" s="247">
        <v>0.78800000000000003</v>
      </c>
      <c r="J25" s="243" t="s">
        <v>520</v>
      </c>
      <c r="K25" s="252">
        <v>2535081.2000000002</v>
      </c>
      <c r="L25" s="251">
        <v>895973.5</v>
      </c>
      <c r="M25" s="252">
        <f t="shared" si="4"/>
        <v>1639107.7000000002</v>
      </c>
      <c r="N25" s="164">
        <f>L25/K25</f>
        <v>0.35342990196921498</v>
      </c>
      <c r="O25" s="253">
        <v>0</v>
      </c>
      <c r="P25" s="253">
        <v>0</v>
      </c>
      <c r="Q25" s="254">
        <v>0</v>
      </c>
      <c r="R25" s="253">
        <v>23382</v>
      </c>
      <c r="S25" s="253">
        <v>872591.5</v>
      </c>
      <c r="T25" s="253"/>
      <c r="U25" s="259"/>
      <c r="V25" s="264"/>
      <c r="W25" s="199"/>
      <c r="X25" s="199"/>
      <c r="Y25" s="137" t="b">
        <f t="shared" si="0"/>
        <v>1</v>
      </c>
      <c r="Z25" s="202">
        <f t="shared" si="1"/>
        <v>0.35339999999999999</v>
      </c>
      <c r="AA25" s="180" t="b">
        <f t="shared" si="2"/>
        <v>0</v>
      </c>
      <c r="AB25" s="180" t="b">
        <f t="shared" si="3"/>
        <v>1</v>
      </c>
    </row>
    <row r="26" spans="1:28" ht="37.5" customHeight="1">
      <c r="A26" s="249">
        <v>24</v>
      </c>
      <c r="B26" s="243">
        <v>19</v>
      </c>
      <c r="C26" s="243" t="s">
        <v>45</v>
      </c>
      <c r="D26" s="243" t="s">
        <v>526</v>
      </c>
      <c r="E26" s="248">
        <v>2002112</v>
      </c>
      <c r="F26" s="243" t="s">
        <v>50</v>
      </c>
      <c r="G26" s="250" t="s">
        <v>184</v>
      </c>
      <c r="H26" s="246" t="s">
        <v>49</v>
      </c>
      <c r="I26" s="247">
        <v>0.76</v>
      </c>
      <c r="J26" s="243" t="s">
        <v>527</v>
      </c>
      <c r="K26" s="252">
        <v>1445865.36</v>
      </c>
      <c r="L26" s="251">
        <f t="shared" ref="L26:L34" si="5">ROUNDDOWN(K26*N26,2)</f>
        <v>722932.68</v>
      </c>
      <c r="M26" s="252">
        <f t="shared" si="4"/>
        <v>722932.68</v>
      </c>
      <c r="N26" s="164">
        <v>0.5</v>
      </c>
      <c r="O26" s="253">
        <v>0</v>
      </c>
      <c r="P26" s="253">
        <v>0</v>
      </c>
      <c r="Q26" s="254">
        <v>0</v>
      </c>
      <c r="R26" s="253">
        <v>19147.12</v>
      </c>
      <c r="S26" s="253">
        <v>703785.56</v>
      </c>
      <c r="T26" s="253"/>
      <c r="U26" s="259"/>
      <c r="V26" s="264"/>
      <c r="W26" s="199"/>
      <c r="X26" s="207"/>
      <c r="Y26" s="137" t="b">
        <f t="shared" si="0"/>
        <v>1</v>
      </c>
      <c r="Z26" s="179">
        <f t="shared" si="1"/>
        <v>0.5</v>
      </c>
      <c r="AA26" s="180" t="b">
        <f t="shared" si="2"/>
        <v>1</v>
      </c>
      <c r="AB26" s="180" t="b">
        <f t="shared" si="3"/>
        <v>1</v>
      </c>
    </row>
    <row r="27" spans="1:28" ht="37.5" customHeight="1">
      <c r="A27" s="249">
        <v>25</v>
      </c>
      <c r="B27" s="243">
        <v>285</v>
      </c>
      <c r="C27" s="243" t="s">
        <v>45</v>
      </c>
      <c r="D27" s="243" t="s">
        <v>70</v>
      </c>
      <c r="E27" s="248">
        <v>2014011</v>
      </c>
      <c r="F27" s="243" t="s">
        <v>57</v>
      </c>
      <c r="G27" s="250" t="s">
        <v>185</v>
      </c>
      <c r="H27" s="246" t="s">
        <v>48</v>
      </c>
      <c r="I27" s="247">
        <v>0.77100000000000002</v>
      </c>
      <c r="J27" s="262" t="s">
        <v>186</v>
      </c>
      <c r="K27" s="252">
        <v>7198418.4900000002</v>
      </c>
      <c r="L27" s="251">
        <f t="shared" si="5"/>
        <v>4319051.09</v>
      </c>
      <c r="M27" s="252">
        <f t="shared" si="4"/>
        <v>2879367.4000000004</v>
      </c>
      <c r="N27" s="164">
        <v>0.6</v>
      </c>
      <c r="O27" s="253">
        <v>0</v>
      </c>
      <c r="P27" s="253">
        <v>0</v>
      </c>
      <c r="Q27" s="254">
        <v>0</v>
      </c>
      <c r="R27" s="253">
        <f>3750000*N27</f>
        <v>2250000</v>
      </c>
      <c r="S27" s="253">
        <f>ROUNDDOWN(3448418.49*N27,2)</f>
        <v>2069051.09</v>
      </c>
      <c r="T27" s="253"/>
      <c r="U27" s="259"/>
      <c r="V27" s="264"/>
      <c r="W27" s="199"/>
      <c r="X27" s="207"/>
      <c r="Y27" s="137" t="b">
        <f t="shared" si="0"/>
        <v>1</v>
      </c>
      <c r="Z27" s="179">
        <f t="shared" si="1"/>
        <v>0.6</v>
      </c>
      <c r="AA27" s="180" t="b">
        <f t="shared" si="2"/>
        <v>1</v>
      </c>
      <c r="AB27" s="180" t="b">
        <f t="shared" si="3"/>
        <v>1</v>
      </c>
    </row>
    <row r="28" spans="1:28" ht="37.5" customHeight="1">
      <c r="A28" s="249">
        <v>26</v>
      </c>
      <c r="B28" s="243">
        <v>85</v>
      </c>
      <c r="C28" s="243" t="s">
        <v>45</v>
      </c>
      <c r="D28" s="243" t="s">
        <v>213</v>
      </c>
      <c r="E28" s="248">
        <v>2013011</v>
      </c>
      <c r="F28" s="243" t="s">
        <v>55</v>
      </c>
      <c r="G28" s="250" t="s">
        <v>188</v>
      </c>
      <c r="H28" s="246" t="s">
        <v>48</v>
      </c>
      <c r="I28" s="247">
        <v>0.63300000000000001</v>
      </c>
      <c r="J28" s="243" t="s">
        <v>252</v>
      </c>
      <c r="K28" s="252">
        <v>3471868.98</v>
      </c>
      <c r="L28" s="251">
        <f t="shared" si="5"/>
        <v>1735934.49</v>
      </c>
      <c r="M28" s="252">
        <f t="shared" si="4"/>
        <v>1735934.49</v>
      </c>
      <c r="N28" s="164">
        <v>0.5</v>
      </c>
      <c r="O28" s="253">
        <v>0</v>
      </c>
      <c r="P28" s="253">
        <v>0</v>
      </c>
      <c r="Q28" s="254">
        <v>0</v>
      </c>
      <c r="R28" s="253">
        <v>525708.87</v>
      </c>
      <c r="S28" s="253">
        <v>1210225.6200000001</v>
      </c>
      <c r="T28" s="253"/>
      <c r="U28" s="259"/>
      <c r="V28" s="264"/>
      <c r="W28" s="199"/>
      <c r="X28" s="207"/>
      <c r="Y28" s="137" t="b">
        <f t="shared" si="0"/>
        <v>1</v>
      </c>
      <c r="Z28" s="179">
        <f t="shared" si="1"/>
        <v>0.5</v>
      </c>
      <c r="AA28" s="180" t="b">
        <f t="shared" si="2"/>
        <v>1</v>
      </c>
      <c r="AB28" s="180" t="b">
        <f t="shared" si="3"/>
        <v>1</v>
      </c>
    </row>
    <row r="29" spans="1:28" ht="37.5" customHeight="1">
      <c r="A29" s="249">
        <v>27</v>
      </c>
      <c r="B29" s="243">
        <v>385</v>
      </c>
      <c r="C29" s="243" t="s">
        <v>45</v>
      </c>
      <c r="D29" s="243" t="s">
        <v>192</v>
      </c>
      <c r="E29" s="243">
        <v>2013023</v>
      </c>
      <c r="F29" s="243" t="s">
        <v>55</v>
      </c>
      <c r="G29" s="250" t="s">
        <v>193</v>
      </c>
      <c r="H29" s="246" t="s">
        <v>49</v>
      </c>
      <c r="I29" s="247">
        <v>1.6870000000000001</v>
      </c>
      <c r="J29" s="262" t="s">
        <v>194</v>
      </c>
      <c r="K29" s="252">
        <v>2320695.02</v>
      </c>
      <c r="L29" s="251">
        <f t="shared" si="5"/>
        <v>1160347.51</v>
      </c>
      <c r="M29" s="252">
        <f t="shared" si="4"/>
        <v>1160347.51</v>
      </c>
      <c r="N29" s="164">
        <v>0.5</v>
      </c>
      <c r="O29" s="253">
        <v>0</v>
      </c>
      <c r="P29" s="253">
        <v>0</v>
      </c>
      <c r="Q29" s="254">
        <v>0</v>
      </c>
      <c r="R29" s="253">
        <f>117534.75*N29</f>
        <v>58767.375</v>
      </c>
      <c r="S29" s="253">
        <f>2203160.27*N29</f>
        <v>1101580.135</v>
      </c>
      <c r="T29" s="253"/>
      <c r="U29" s="259"/>
      <c r="V29" s="264"/>
      <c r="W29" s="199"/>
      <c r="X29" s="207"/>
      <c r="Y29" s="137" t="b">
        <f t="shared" si="0"/>
        <v>1</v>
      </c>
      <c r="Z29" s="179">
        <f t="shared" si="1"/>
        <v>0.5</v>
      </c>
      <c r="AA29" s="180" t="b">
        <f t="shared" si="2"/>
        <v>1</v>
      </c>
      <c r="AB29" s="180" t="b">
        <f t="shared" si="3"/>
        <v>1</v>
      </c>
    </row>
    <row r="30" spans="1:28" ht="37.5" customHeight="1">
      <c r="A30" s="249">
        <v>28</v>
      </c>
      <c r="B30" s="243">
        <v>180</v>
      </c>
      <c r="C30" s="243" t="s">
        <v>45</v>
      </c>
      <c r="D30" s="243" t="s">
        <v>253</v>
      </c>
      <c r="E30" s="248">
        <v>2006011</v>
      </c>
      <c r="F30" s="243" t="s">
        <v>90</v>
      </c>
      <c r="G30" s="250" t="s">
        <v>197</v>
      </c>
      <c r="H30" s="246" t="s">
        <v>63</v>
      </c>
      <c r="I30" s="247">
        <v>0.314</v>
      </c>
      <c r="J30" s="262" t="s">
        <v>254</v>
      </c>
      <c r="K30" s="252">
        <v>843890.7</v>
      </c>
      <c r="L30" s="251">
        <f t="shared" si="5"/>
        <v>506334.42</v>
      </c>
      <c r="M30" s="252">
        <f t="shared" si="4"/>
        <v>337556.27999999997</v>
      </c>
      <c r="N30" s="164">
        <v>0.6</v>
      </c>
      <c r="O30" s="253">
        <v>0</v>
      </c>
      <c r="P30" s="253">
        <v>0</v>
      </c>
      <c r="Q30" s="254">
        <v>0</v>
      </c>
      <c r="R30" s="253">
        <v>252956.41</v>
      </c>
      <c r="S30" s="253">
        <v>253378.01</v>
      </c>
      <c r="T30" s="253"/>
      <c r="U30" s="259"/>
      <c r="V30" s="264"/>
      <c r="W30" s="207"/>
      <c r="X30" s="207"/>
      <c r="Y30" s="137" t="b">
        <f t="shared" si="0"/>
        <v>1</v>
      </c>
      <c r="Z30" s="179">
        <f t="shared" si="1"/>
        <v>0.6</v>
      </c>
      <c r="AA30" s="180" t="b">
        <f t="shared" si="2"/>
        <v>1</v>
      </c>
      <c r="AB30" s="180" t="b">
        <f t="shared" si="3"/>
        <v>1</v>
      </c>
    </row>
    <row r="31" spans="1:28" ht="37.5" customHeight="1">
      <c r="A31" s="249">
        <v>29</v>
      </c>
      <c r="B31" s="243"/>
      <c r="C31" s="243" t="s">
        <v>45</v>
      </c>
      <c r="D31" s="243" t="s">
        <v>529</v>
      </c>
      <c r="E31" s="243">
        <v>2014042</v>
      </c>
      <c r="F31" s="243" t="s">
        <v>57</v>
      </c>
      <c r="G31" s="250" t="s">
        <v>528</v>
      </c>
      <c r="H31" s="246" t="s">
        <v>49</v>
      </c>
      <c r="I31" s="247">
        <v>1.9470000000000001</v>
      </c>
      <c r="J31" s="262" t="s">
        <v>202</v>
      </c>
      <c r="K31" s="252">
        <v>2679882.83</v>
      </c>
      <c r="L31" s="251">
        <f t="shared" si="5"/>
        <v>2143906.2599999998</v>
      </c>
      <c r="M31" s="252">
        <f t="shared" si="4"/>
        <v>535976.5700000003</v>
      </c>
      <c r="N31" s="164">
        <v>0.8</v>
      </c>
      <c r="O31" s="253">
        <v>0</v>
      </c>
      <c r="P31" s="253">
        <v>0</v>
      </c>
      <c r="Q31" s="254">
        <v>0</v>
      </c>
      <c r="R31" s="263">
        <f>2500000*N31</f>
        <v>2000000</v>
      </c>
      <c r="S31" s="253">
        <f>L31-R31</f>
        <v>143906.25999999978</v>
      </c>
      <c r="T31" s="253"/>
      <c r="U31" s="259"/>
      <c r="V31" s="260"/>
      <c r="W31" s="199"/>
      <c r="X31" s="207"/>
      <c r="Y31" s="137" t="b">
        <f t="shared" si="0"/>
        <v>1</v>
      </c>
      <c r="Z31" s="179">
        <f t="shared" si="1"/>
        <v>0.8</v>
      </c>
      <c r="AA31" s="180" t="b">
        <f t="shared" si="2"/>
        <v>1</v>
      </c>
      <c r="AB31" s="180" t="b">
        <f t="shared" si="3"/>
        <v>1</v>
      </c>
    </row>
    <row r="32" spans="1:28" s="170" customFormat="1" ht="37.5" customHeight="1">
      <c r="A32" s="249">
        <v>30</v>
      </c>
      <c r="B32" s="243">
        <v>233</v>
      </c>
      <c r="C32" s="243" t="s">
        <v>45</v>
      </c>
      <c r="D32" s="243" t="s">
        <v>93</v>
      </c>
      <c r="E32" s="248">
        <v>2012022</v>
      </c>
      <c r="F32" s="243" t="s">
        <v>54</v>
      </c>
      <c r="G32" s="250" t="s">
        <v>205</v>
      </c>
      <c r="H32" s="246" t="s">
        <v>49</v>
      </c>
      <c r="I32" s="247">
        <v>1.33</v>
      </c>
      <c r="J32" s="262" t="s">
        <v>157</v>
      </c>
      <c r="K32" s="252">
        <v>4203040</v>
      </c>
      <c r="L32" s="251">
        <f t="shared" si="5"/>
        <v>2101520</v>
      </c>
      <c r="M32" s="252">
        <f t="shared" si="4"/>
        <v>2101520</v>
      </c>
      <c r="N32" s="164">
        <v>0.5</v>
      </c>
      <c r="O32" s="253">
        <v>0</v>
      </c>
      <c r="P32" s="253">
        <v>0</v>
      </c>
      <c r="Q32" s="254">
        <v>0</v>
      </c>
      <c r="R32" s="253">
        <f>2000000*N32</f>
        <v>1000000</v>
      </c>
      <c r="S32" s="253">
        <f>2203040*N32</f>
        <v>1101520</v>
      </c>
      <c r="T32" s="253"/>
      <c r="U32" s="216"/>
      <c r="V32" s="216"/>
      <c r="W32" s="207"/>
      <c r="X32" s="207"/>
      <c r="Y32" s="137" t="b">
        <f t="shared" si="0"/>
        <v>1</v>
      </c>
      <c r="Z32" s="179">
        <f t="shared" si="1"/>
        <v>0.5</v>
      </c>
      <c r="AA32" s="180" t="b">
        <f t="shared" si="2"/>
        <v>1</v>
      </c>
      <c r="AB32" s="180" t="b">
        <f t="shared" si="3"/>
        <v>1</v>
      </c>
    </row>
    <row r="33" spans="1:28" s="170" customFormat="1" ht="37.5" customHeight="1">
      <c r="A33" s="249">
        <v>31</v>
      </c>
      <c r="B33" s="243">
        <v>362</v>
      </c>
      <c r="C33" s="243" t="s">
        <v>45</v>
      </c>
      <c r="D33" s="243" t="s">
        <v>67</v>
      </c>
      <c r="E33" s="248">
        <v>2014032</v>
      </c>
      <c r="F33" s="243" t="s">
        <v>57</v>
      </c>
      <c r="G33" s="250" t="s">
        <v>530</v>
      </c>
      <c r="H33" s="246" t="s">
        <v>48</v>
      </c>
      <c r="I33" s="247">
        <v>3.2610000000000001</v>
      </c>
      <c r="J33" s="262" t="s">
        <v>179</v>
      </c>
      <c r="K33" s="252">
        <v>4581500</v>
      </c>
      <c r="L33" s="251">
        <f t="shared" si="5"/>
        <v>2290750</v>
      </c>
      <c r="M33" s="252">
        <f t="shared" si="4"/>
        <v>2290750</v>
      </c>
      <c r="N33" s="164">
        <v>0.5</v>
      </c>
      <c r="O33" s="253">
        <v>0</v>
      </c>
      <c r="P33" s="253">
        <v>0</v>
      </c>
      <c r="Q33" s="254">
        <v>0</v>
      </c>
      <c r="R33" s="253">
        <f>80000*N33</f>
        <v>40000</v>
      </c>
      <c r="S33" s="253">
        <f>(4501500*N33)</f>
        <v>2250750</v>
      </c>
      <c r="T33" s="253"/>
      <c r="U33" s="216"/>
      <c r="V33" s="216"/>
      <c r="W33" s="207"/>
      <c r="X33" s="207"/>
      <c r="Y33" s="137" t="b">
        <f t="shared" si="0"/>
        <v>1</v>
      </c>
      <c r="Z33" s="179">
        <f t="shared" si="1"/>
        <v>0.5</v>
      </c>
      <c r="AA33" s="180" t="b">
        <f t="shared" si="2"/>
        <v>1</v>
      </c>
      <c r="AB33" s="180" t="b">
        <f t="shared" si="3"/>
        <v>1</v>
      </c>
    </row>
    <row r="34" spans="1:28" s="170" customFormat="1" ht="37.5" customHeight="1">
      <c r="A34" s="249">
        <v>32</v>
      </c>
      <c r="B34" s="243">
        <v>84</v>
      </c>
      <c r="C34" s="243" t="s">
        <v>45</v>
      </c>
      <c r="D34" s="243" t="s">
        <v>467</v>
      </c>
      <c r="E34" s="248">
        <v>2013011</v>
      </c>
      <c r="F34" s="243" t="s">
        <v>55</v>
      </c>
      <c r="G34" s="250" t="s">
        <v>531</v>
      </c>
      <c r="H34" s="246" t="s">
        <v>48</v>
      </c>
      <c r="I34" s="247">
        <v>0.78200000000000003</v>
      </c>
      <c r="J34" s="243" t="s">
        <v>532</v>
      </c>
      <c r="K34" s="252">
        <v>4447500</v>
      </c>
      <c r="L34" s="251">
        <f t="shared" si="5"/>
        <v>2223750</v>
      </c>
      <c r="M34" s="252">
        <f t="shared" si="4"/>
        <v>2223750</v>
      </c>
      <c r="N34" s="164">
        <v>0.5</v>
      </c>
      <c r="O34" s="253">
        <v>0</v>
      </c>
      <c r="P34" s="253">
        <v>0</v>
      </c>
      <c r="Q34" s="254">
        <v>0</v>
      </c>
      <c r="R34" s="253">
        <f>2000000*N34</f>
        <v>1000000</v>
      </c>
      <c r="S34" s="253">
        <f>(2447500*N34)</f>
        <v>1223750</v>
      </c>
      <c r="T34" s="253"/>
      <c r="U34" s="216"/>
      <c r="V34" s="216"/>
      <c r="W34" s="207"/>
      <c r="X34" s="207"/>
      <c r="Y34" s="137" t="b">
        <f t="shared" si="0"/>
        <v>1</v>
      </c>
      <c r="Z34" s="179">
        <f t="shared" si="1"/>
        <v>0.5</v>
      </c>
      <c r="AA34" s="180" t="b">
        <f t="shared" si="2"/>
        <v>1</v>
      </c>
      <c r="AB34" s="180" t="b">
        <f t="shared" si="3"/>
        <v>1</v>
      </c>
    </row>
    <row r="35" spans="1:28" s="170" customFormat="1" ht="37.5" customHeight="1">
      <c r="A35" s="249">
        <v>33</v>
      </c>
      <c r="B35" s="243">
        <v>74</v>
      </c>
      <c r="C35" s="183" t="s">
        <v>61</v>
      </c>
      <c r="D35" s="243" t="s">
        <v>160</v>
      </c>
      <c r="E35" s="248">
        <v>2011072</v>
      </c>
      <c r="F35" s="243" t="s">
        <v>51</v>
      </c>
      <c r="G35" s="250" t="s">
        <v>321</v>
      </c>
      <c r="H35" s="246" t="s">
        <v>49</v>
      </c>
      <c r="I35" s="247">
        <v>3.15</v>
      </c>
      <c r="J35" s="243" t="s">
        <v>322</v>
      </c>
      <c r="K35" s="269">
        <v>6109100</v>
      </c>
      <c r="L35" s="270">
        <f t="shared" ref="L35:L66" si="6">ROUNDDOWN(K35*N35,2)</f>
        <v>3665460</v>
      </c>
      <c r="M35" s="269">
        <f t="shared" ref="M35:M66" si="7">K35-L35</f>
        <v>2443640</v>
      </c>
      <c r="N35" s="256">
        <v>0.6</v>
      </c>
      <c r="O35" s="253">
        <v>0</v>
      </c>
      <c r="P35" s="253">
        <v>0</v>
      </c>
      <c r="Q35" s="254">
        <v>0</v>
      </c>
      <c r="R35" s="253">
        <v>0</v>
      </c>
      <c r="S35" s="263">
        <f>5994900*N35</f>
        <v>3596940</v>
      </c>
      <c r="T35" s="253">
        <f>114200*N35</f>
        <v>68520</v>
      </c>
      <c r="U35" s="278"/>
      <c r="V35" s="207"/>
      <c r="W35" s="207"/>
      <c r="X35" s="207"/>
      <c r="Y35" s="137" t="b">
        <f t="shared" si="0"/>
        <v>1</v>
      </c>
      <c r="Z35" s="179">
        <f t="shared" si="1"/>
        <v>0.6</v>
      </c>
      <c r="AA35" s="180" t="b">
        <f t="shared" si="2"/>
        <v>1</v>
      </c>
      <c r="AB35" s="140" t="b">
        <f t="shared" ref="AB35:AB62" si="8">K35=L35+M35</f>
        <v>1</v>
      </c>
    </row>
    <row r="36" spans="1:28" s="170" customFormat="1" ht="37.5" customHeight="1">
      <c r="A36" s="196">
        <v>34</v>
      </c>
      <c r="B36" s="241">
        <v>234</v>
      </c>
      <c r="C36" s="295" t="s">
        <v>73</v>
      </c>
      <c r="D36" s="185" t="s">
        <v>64</v>
      </c>
      <c r="E36" s="242">
        <v>2002143</v>
      </c>
      <c r="F36" s="185" t="s">
        <v>50</v>
      </c>
      <c r="G36" s="186" t="s">
        <v>348</v>
      </c>
      <c r="H36" s="196" t="s">
        <v>48</v>
      </c>
      <c r="I36" s="196">
        <v>2.9279999999999999</v>
      </c>
      <c r="J36" s="185" t="s">
        <v>347</v>
      </c>
      <c r="K36" s="271">
        <v>8430000</v>
      </c>
      <c r="L36" s="272">
        <f t="shared" si="6"/>
        <v>5058000</v>
      </c>
      <c r="M36" s="271">
        <f t="shared" si="7"/>
        <v>3372000</v>
      </c>
      <c r="N36" s="257">
        <v>0.6</v>
      </c>
      <c r="O36" s="199">
        <v>0</v>
      </c>
      <c r="P36" s="199">
        <v>0</v>
      </c>
      <c r="Q36" s="208">
        <v>0</v>
      </c>
      <c r="R36" s="199">
        <v>0</v>
      </c>
      <c r="S36" s="199">
        <f>L36</f>
        <v>5058000</v>
      </c>
      <c r="T36" s="199"/>
      <c r="U36" s="200"/>
      <c r="V36" s="207"/>
      <c r="W36" s="207"/>
      <c r="X36" s="207"/>
      <c r="Y36" s="137" t="b">
        <f t="shared" si="0"/>
        <v>1</v>
      </c>
      <c r="Z36" s="179">
        <f t="shared" si="1"/>
        <v>0.6</v>
      </c>
      <c r="AA36" s="180" t="b">
        <f t="shared" si="2"/>
        <v>1</v>
      </c>
      <c r="AB36" s="140" t="b">
        <f t="shared" si="8"/>
        <v>1</v>
      </c>
    </row>
    <row r="37" spans="1:28" s="170" customFormat="1" ht="37.5" customHeight="1">
      <c r="A37" s="249">
        <v>35</v>
      </c>
      <c r="B37" s="243">
        <v>303</v>
      </c>
      <c r="C37" s="183" t="s">
        <v>61</v>
      </c>
      <c r="D37" s="243" t="s">
        <v>192</v>
      </c>
      <c r="E37" s="248">
        <v>2013023</v>
      </c>
      <c r="F37" s="243" t="s">
        <v>55</v>
      </c>
      <c r="G37" s="250" t="s">
        <v>350</v>
      </c>
      <c r="H37" s="246" t="s">
        <v>63</v>
      </c>
      <c r="I37" s="247">
        <v>2.2999999999999998</v>
      </c>
      <c r="J37" s="262" t="s">
        <v>261</v>
      </c>
      <c r="K37" s="269">
        <v>2887500</v>
      </c>
      <c r="L37" s="270">
        <f t="shared" si="6"/>
        <v>1732500</v>
      </c>
      <c r="M37" s="269">
        <f t="shared" si="7"/>
        <v>1155000</v>
      </c>
      <c r="N37" s="256">
        <v>0.6</v>
      </c>
      <c r="O37" s="253">
        <v>0</v>
      </c>
      <c r="P37" s="253">
        <v>0</v>
      </c>
      <c r="Q37" s="254">
        <v>0</v>
      </c>
      <c r="R37" s="253">
        <v>0</v>
      </c>
      <c r="S37" s="253">
        <f>1356000*N37</f>
        <v>813600</v>
      </c>
      <c r="T37" s="253">
        <f>1531500*N37</f>
        <v>918900</v>
      </c>
      <c r="U37" s="200"/>
      <c r="V37" s="207"/>
      <c r="W37" s="207"/>
      <c r="X37" s="207"/>
      <c r="Y37" s="137" t="b">
        <f t="shared" si="0"/>
        <v>1</v>
      </c>
      <c r="Z37" s="179">
        <f t="shared" si="1"/>
        <v>0.6</v>
      </c>
      <c r="AA37" s="180" t="b">
        <f t="shared" si="2"/>
        <v>1</v>
      </c>
      <c r="AB37" s="140" t="b">
        <f t="shared" si="8"/>
        <v>1</v>
      </c>
    </row>
    <row r="38" spans="1:28" s="170" customFormat="1" ht="37.5" customHeight="1">
      <c r="A38" s="249">
        <v>36</v>
      </c>
      <c r="B38" s="243">
        <v>177</v>
      </c>
      <c r="C38" s="183" t="s">
        <v>61</v>
      </c>
      <c r="D38" s="243" t="s">
        <v>195</v>
      </c>
      <c r="E38" s="248">
        <v>2003052</v>
      </c>
      <c r="F38" s="243" t="s">
        <v>53</v>
      </c>
      <c r="G38" s="250" t="s">
        <v>343</v>
      </c>
      <c r="H38" s="246" t="s">
        <v>49</v>
      </c>
      <c r="I38" s="247">
        <v>2.0150000000000001</v>
      </c>
      <c r="J38" s="262" t="s">
        <v>344</v>
      </c>
      <c r="K38" s="269">
        <v>4726901</v>
      </c>
      <c r="L38" s="270">
        <f t="shared" si="6"/>
        <v>2836140.6</v>
      </c>
      <c r="M38" s="269">
        <f t="shared" si="7"/>
        <v>1890760.4</v>
      </c>
      <c r="N38" s="256">
        <v>0.6</v>
      </c>
      <c r="O38" s="253">
        <v>0</v>
      </c>
      <c r="P38" s="253">
        <v>0</v>
      </c>
      <c r="Q38" s="254">
        <v>0</v>
      </c>
      <c r="R38" s="253">
        <v>0</v>
      </c>
      <c r="S38" s="263">
        <f>215501*N38</f>
        <v>129300.59999999999</v>
      </c>
      <c r="T38" s="253">
        <f>4511400*N38</f>
        <v>2706840</v>
      </c>
      <c r="U38" s="200"/>
      <c r="V38" s="207"/>
      <c r="W38" s="207"/>
      <c r="X38" s="207"/>
      <c r="Y38" s="137" t="b">
        <f t="shared" si="0"/>
        <v>1</v>
      </c>
      <c r="Z38" s="179">
        <f t="shared" si="1"/>
        <v>0.6</v>
      </c>
      <c r="AA38" s="180" t="b">
        <f t="shared" si="2"/>
        <v>1</v>
      </c>
      <c r="AB38" s="140" t="b">
        <f t="shared" si="8"/>
        <v>1</v>
      </c>
    </row>
    <row r="39" spans="1:28" s="170" customFormat="1" ht="38.25" customHeight="1">
      <c r="A39" s="196">
        <v>37</v>
      </c>
      <c r="B39" s="185">
        <v>169</v>
      </c>
      <c r="C39" s="295" t="s">
        <v>73</v>
      </c>
      <c r="D39" s="185" t="s">
        <v>419</v>
      </c>
      <c r="E39" s="240">
        <v>2009032</v>
      </c>
      <c r="F39" s="185" t="s">
        <v>405</v>
      </c>
      <c r="G39" s="186" t="s">
        <v>487</v>
      </c>
      <c r="H39" s="182" t="s">
        <v>49</v>
      </c>
      <c r="I39" s="187">
        <v>2.64</v>
      </c>
      <c r="J39" s="188" t="s">
        <v>269</v>
      </c>
      <c r="K39" s="271">
        <v>2768514.01</v>
      </c>
      <c r="L39" s="272">
        <f t="shared" si="6"/>
        <v>1661108.4</v>
      </c>
      <c r="M39" s="272">
        <f t="shared" si="7"/>
        <v>1107405.6099999999</v>
      </c>
      <c r="N39" s="257">
        <v>0.6</v>
      </c>
      <c r="O39" s="199">
        <v>0</v>
      </c>
      <c r="P39" s="199">
        <v>0</v>
      </c>
      <c r="Q39" s="208">
        <v>0</v>
      </c>
      <c r="R39" s="199">
        <v>0</v>
      </c>
      <c r="S39" s="199">
        <f>L39</f>
        <v>1661108.4</v>
      </c>
      <c r="T39" s="199"/>
      <c r="U39" s="200"/>
      <c r="V39" s="207"/>
      <c r="W39" s="207"/>
      <c r="X39" s="207"/>
      <c r="Y39" s="137" t="b">
        <f t="shared" si="0"/>
        <v>1</v>
      </c>
      <c r="Z39" s="179">
        <f t="shared" si="1"/>
        <v>0.6</v>
      </c>
      <c r="AA39" s="180" t="b">
        <f t="shared" si="2"/>
        <v>1</v>
      </c>
      <c r="AB39" s="140" t="b">
        <f t="shared" si="8"/>
        <v>1</v>
      </c>
    </row>
    <row r="40" spans="1:28" s="170" customFormat="1" ht="37.5" customHeight="1">
      <c r="A40" s="196">
        <v>38</v>
      </c>
      <c r="B40" s="185">
        <v>322</v>
      </c>
      <c r="C40" s="295" t="s">
        <v>73</v>
      </c>
      <c r="D40" s="185" t="s">
        <v>86</v>
      </c>
      <c r="E40" s="242">
        <v>2012072</v>
      </c>
      <c r="F40" s="185" t="s">
        <v>54</v>
      </c>
      <c r="G40" s="186" t="s">
        <v>352</v>
      </c>
      <c r="H40" s="182" t="s">
        <v>49</v>
      </c>
      <c r="I40" s="187">
        <v>1.85</v>
      </c>
      <c r="J40" s="188" t="s">
        <v>256</v>
      </c>
      <c r="K40" s="271">
        <v>2082600</v>
      </c>
      <c r="L40" s="272">
        <f t="shared" si="6"/>
        <v>1249560</v>
      </c>
      <c r="M40" s="271">
        <f t="shared" si="7"/>
        <v>833040</v>
      </c>
      <c r="N40" s="257">
        <v>0.6</v>
      </c>
      <c r="O40" s="199">
        <v>0</v>
      </c>
      <c r="P40" s="199">
        <v>0</v>
      </c>
      <c r="Q40" s="208">
        <v>0</v>
      </c>
      <c r="R40" s="199">
        <v>0</v>
      </c>
      <c r="S40" s="199">
        <f>L40</f>
        <v>1249560</v>
      </c>
      <c r="T40" s="199"/>
      <c r="U40" s="200"/>
      <c r="V40" s="207"/>
      <c r="W40" s="207"/>
      <c r="X40" s="207"/>
      <c r="Y40" s="137" t="b">
        <f t="shared" si="0"/>
        <v>1</v>
      </c>
      <c r="Z40" s="179">
        <f t="shared" si="1"/>
        <v>0.6</v>
      </c>
      <c r="AA40" s="180" t="b">
        <f t="shared" si="2"/>
        <v>1</v>
      </c>
      <c r="AB40" s="140" t="b">
        <f t="shared" si="8"/>
        <v>1</v>
      </c>
    </row>
    <row r="41" spans="1:28" s="170" customFormat="1" ht="37.5" customHeight="1">
      <c r="A41" s="196">
        <v>39</v>
      </c>
      <c r="B41" s="241">
        <v>146</v>
      </c>
      <c r="C41" s="295" t="s">
        <v>73</v>
      </c>
      <c r="D41" s="185" t="s">
        <v>71</v>
      </c>
      <c r="E41" s="242">
        <v>2011093</v>
      </c>
      <c r="F41" s="185" t="s">
        <v>51</v>
      </c>
      <c r="G41" s="186" t="s">
        <v>339</v>
      </c>
      <c r="H41" s="182" t="s">
        <v>49</v>
      </c>
      <c r="I41" s="187">
        <v>1.6479999999999999</v>
      </c>
      <c r="J41" s="188" t="s">
        <v>330</v>
      </c>
      <c r="K41" s="271">
        <v>2019073</v>
      </c>
      <c r="L41" s="272">
        <f t="shared" si="6"/>
        <v>1211443.8</v>
      </c>
      <c r="M41" s="271">
        <f t="shared" si="7"/>
        <v>807629.2</v>
      </c>
      <c r="N41" s="257">
        <v>0.6</v>
      </c>
      <c r="O41" s="199">
        <v>0</v>
      </c>
      <c r="P41" s="199">
        <v>0</v>
      </c>
      <c r="Q41" s="208">
        <v>0</v>
      </c>
      <c r="R41" s="199">
        <v>0</v>
      </c>
      <c r="S41" s="199">
        <f>L41</f>
        <v>1211443.8</v>
      </c>
      <c r="T41" s="265"/>
      <c r="U41" s="265"/>
      <c r="V41" s="207"/>
      <c r="W41" s="207"/>
      <c r="X41" s="207"/>
      <c r="Y41" s="137" t="b">
        <f t="shared" si="0"/>
        <v>1</v>
      </c>
      <c r="Z41" s="179">
        <f t="shared" si="1"/>
        <v>0.6</v>
      </c>
      <c r="AA41" s="180" t="b">
        <f t="shared" si="2"/>
        <v>1</v>
      </c>
      <c r="AB41" s="140" t="b">
        <f t="shared" si="8"/>
        <v>1</v>
      </c>
    </row>
    <row r="42" spans="1:28" s="170" customFormat="1" ht="37.5" customHeight="1">
      <c r="A42" s="249">
        <v>40</v>
      </c>
      <c r="B42" s="243">
        <v>72</v>
      </c>
      <c r="C42" s="183" t="s">
        <v>61</v>
      </c>
      <c r="D42" s="243" t="s">
        <v>200</v>
      </c>
      <c r="E42" s="248">
        <v>2012052</v>
      </c>
      <c r="F42" s="243" t="s">
        <v>54</v>
      </c>
      <c r="G42" s="250" t="s">
        <v>319</v>
      </c>
      <c r="H42" s="246" t="s">
        <v>48</v>
      </c>
      <c r="I42" s="247">
        <v>1.5760000000000001</v>
      </c>
      <c r="J42" s="243" t="s">
        <v>320</v>
      </c>
      <c r="K42" s="269">
        <v>2865748</v>
      </c>
      <c r="L42" s="270">
        <f t="shared" si="6"/>
        <v>1719448.8</v>
      </c>
      <c r="M42" s="269">
        <f t="shared" si="7"/>
        <v>1146299.2</v>
      </c>
      <c r="N42" s="256">
        <v>0.6</v>
      </c>
      <c r="O42" s="253">
        <v>0</v>
      </c>
      <c r="P42" s="253">
        <v>0</v>
      </c>
      <c r="Q42" s="254">
        <v>0</v>
      </c>
      <c r="R42" s="253">
        <v>0</v>
      </c>
      <c r="S42" s="263">
        <f>1433924*N42</f>
        <v>860354.4</v>
      </c>
      <c r="T42" s="253">
        <f>1431824*N42</f>
        <v>859094.4</v>
      </c>
      <c r="U42" s="259"/>
      <c r="V42" s="207"/>
      <c r="W42" s="207"/>
      <c r="X42" s="207"/>
      <c r="Y42" s="137" t="b">
        <f t="shared" si="0"/>
        <v>1</v>
      </c>
      <c r="Z42" s="179">
        <f t="shared" si="1"/>
        <v>0.6</v>
      </c>
      <c r="AA42" s="180" t="b">
        <f t="shared" si="2"/>
        <v>1</v>
      </c>
      <c r="AB42" s="140" t="b">
        <f t="shared" si="8"/>
        <v>1</v>
      </c>
    </row>
    <row r="43" spans="1:28" s="204" customFormat="1" ht="37.5" customHeight="1">
      <c r="A43" s="249">
        <v>41</v>
      </c>
      <c r="B43" s="243">
        <v>341</v>
      </c>
      <c r="C43" s="183" t="s">
        <v>61</v>
      </c>
      <c r="D43" s="243" t="s">
        <v>97</v>
      </c>
      <c r="E43" s="248">
        <v>2004022</v>
      </c>
      <c r="F43" s="243" t="s">
        <v>52</v>
      </c>
      <c r="G43" s="250" t="s">
        <v>357</v>
      </c>
      <c r="H43" s="246" t="s">
        <v>49</v>
      </c>
      <c r="I43" s="247">
        <v>1.5629999999999999</v>
      </c>
      <c r="J43" s="262" t="s">
        <v>358</v>
      </c>
      <c r="K43" s="269">
        <v>3696149.63</v>
      </c>
      <c r="L43" s="270">
        <f t="shared" si="6"/>
        <v>2217689.77</v>
      </c>
      <c r="M43" s="269">
        <f t="shared" si="7"/>
        <v>1478459.8599999999</v>
      </c>
      <c r="N43" s="256">
        <v>0.6</v>
      </c>
      <c r="O43" s="253">
        <v>0</v>
      </c>
      <c r="P43" s="253">
        <v>0</v>
      </c>
      <c r="Q43" s="254">
        <v>0</v>
      </c>
      <c r="R43" s="253">
        <v>0</v>
      </c>
      <c r="S43" s="253">
        <f>1500000*N43</f>
        <v>900000</v>
      </c>
      <c r="T43" s="253">
        <f>ROUNDDOWN(2196149.63*N43,2)</f>
        <v>1317689.77</v>
      </c>
      <c r="U43" s="200"/>
      <c r="V43" s="207"/>
      <c r="W43" s="207"/>
      <c r="X43" s="207"/>
      <c r="Y43" s="137" t="b">
        <f t="shared" si="0"/>
        <v>1</v>
      </c>
      <c r="Z43" s="179">
        <f t="shared" si="1"/>
        <v>0.6</v>
      </c>
      <c r="AA43" s="180" t="b">
        <f t="shared" si="2"/>
        <v>1</v>
      </c>
      <c r="AB43" s="140" t="b">
        <f t="shared" si="8"/>
        <v>1</v>
      </c>
    </row>
    <row r="44" spans="1:28" s="170" customFormat="1" ht="37.5" customHeight="1">
      <c r="A44" s="196">
        <v>42</v>
      </c>
      <c r="B44" s="241">
        <v>131</v>
      </c>
      <c r="C44" s="295" t="s">
        <v>73</v>
      </c>
      <c r="D44" s="185" t="s">
        <v>91</v>
      </c>
      <c r="E44" s="185">
        <v>2004062</v>
      </c>
      <c r="F44" s="185" t="s">
        <v>52</v>
      </c>
      <c r="G44" s="186" t="s">
        <v>329</v>
      </c>
      <c r="H44" s="182" t="s">
        <v>49</v>
      </c>
      <c r="I44" s="187">
        <v>1.55</v>
      </c>
      <c r="J44" s="188" t="s">
        <v>330</v>
      </c>
      <c r="K44" s="271">
        <v>2450500</v>
      </c>
      <c r="L44" s="272">
        <f t="shared" si="6"/>
        <v>1470300</v>
      </c>
      <c r="M44" s="271">
        <f t="shared" si="7"/>
        <v>980200</v>
      </c>
      <c r="N44" s="257">
        <v>0.6</v>
      </c>
      <c r="O44" s="199">
        <v>0</v>
      </c>
      <c r="P44" s="199">
        <v>0</v>
      </c>
      <c r="Q44" s="208">
        <v>0</v>
      </c>
      <c r="R44" s="199">
        <v>0</v>
      </c>
      <c r="S44" s="199">
        <f>L44</f>
        <v>1470300</v>
      </c>
      <c r="T44" s="199"/>
      <c r="U44" s="200"/>
      <c r="V44" s="207"/>
      <c r="W44" s="207"/>
      <c r="X44" s="207"/>
      <c r="Y44" s="137" t="b">
        <f t="shared" si="0"/>
        <v>1</v>
      </c>
      <c r="Z44" s="179">
        <f t="shared" si="1"/>
        <v>0.6</v>
      </c>
      <c r="AA44" s="180" t="b">
        <f t="shared" si="2"/>
        <v>1</v>
      </c>
      <c r="AB44" s="140" t="b">
        <f t="shared" si="8"/>
        <v>1</v>
      </c>
    </row>
    <row r="45" spans="1:28" s="170" customFormat="1" ht="38.25" customHeight="1">
      <c r="A45" s="249">
        <v>43</v>
      </c>
      <c r="B45" s="243">
        <v>289</v>
      </c>
      <c r="C45" s="183" t="s">
        <v>61</v>
      </c>
      <c r="D45" s="243" t="s">
        <v>370</v>
      </c>
      <c r="E45" s="248">
        <v>2006022</v>
      </c>
      <c r="F45" s="243" t="s">
        <v>90</v>
      </c>
      <c r="G45" s="250" t="s">
        <v>398</v>
      </c>
      <c r="H45" s="246" t="s">
        <v>48</v>
      </c>
      <c r="I45" s="247">
        <v>1.4430000000000001</v>
      </c>
      <c r="J45" s="262" t="s">
        <v>399</v>
      </c>
      <c r="K45" s="269">
        <v>1951013.67</v>
      </c>
      <c r="L45" s="270">
        <f t="shared" si="6"/>
        <v>1170608.2</v>
      </c>
      <c r="M45" s="270">
        <f t="shared" si="7"/>
        <v>780405.47</v>
      </c>
      <c r="N45" s="256">
        <v>0.6</v>
      </c>
      <c r="O45" s="253">
        <v>0</v>
      </c>
      <c r="P45" s="253">
        <v>0</v>
      </c>
      <c r="Q45" s="254">
        <v>0</v>
      </c>
      <c r="R45" s="253">
        <v>0</v>
      </c>
      <c r="S45" s="253">
        <f>3000*N45</f>
        <v>1800</v>
      </c>
      <c r="T45" s="253">
        <f>ROUNDUP(974006.84*N45,2)</f>
        <v>584404.11</v>
      </c>
      <c r="U45" s="253">
        <f>ROUNDDOWN(974006.83*N45,2)</f>
        <v>584404.09</v>
      </c>
      <c r="V45" s="264"/>
      <c r="W45" s="264"/>
      <c r="X45" s="264"/>
      <c r="Y45" s="137" t="b">
        <f t="shared" si="0"/>
        <v>1</v>
      </c>
      <c r="Z45" s="179">
        <f t="shared" si="1"/>
        <v>0.6</v>
      </c>
      <c r="AA45" s="180" t="b">
        <f t="shared" si="2"/>
        <v>1</v>
      </c>
      <c r="AB45" s="140" t="b">
        <f t="shared" si="8"/>
        <v>1</v>
      </c>
    </row>
    <row r="46" spans="1:28" s="170" customFormat="1" ht="37.5" customHeight="1">
      <c r="A46" s="196">
        <v>44</v>
      </c>
      <c r="B46" s="185">
        <v>320</v>
      </c>
      <c r="C46" s="295" t="s">
        <v>73</v>
      </c>
      <c r="D46" s="185" t="s">
        <v>187</v>
      </c>
      <c r="E46" s="240">
        <v>2012012</v>
      </c>
      <c r="F46" s="185" t="s">
        <v>54</v>
      </c>
      <c r="G46" s="186" t="s">
        <v>351</v>
      </c>
      <c r="H46" s="182" t="s">
        <v>49</v>
      </c>
      <c r="I46" s="187">
        <v>1.22</v>
      </c>
      <c r="J46" s="188" t="s">
        <v>258</v>
      </c>
      <c r="K46" s="271">
        <v>1256445.9099999999</v>
      </c>
      <c r="L46" s="272">
        <f t="shared" si="6"/>
        <v>753867.54</v>
      </c>
      <c r="M46" s="271">
        <f t="shared" si="7"/>
        <v>502578.36999999988</v>
      </c>
      <c r="N46" s="257">
        <v>0.6</v>
      </c>
      <c r="O46" s="199">
        <v>0</v>
      </c>
      <c r="P46" s="199">
        <v>0</v>
      </c>
      <c r="Q46" s="208">
        <v>0</v>
      </c>
      <c r="R46" s="199">
        <v>0</v>
      </c>
      <c r="S46" s="199">
        <f>L46</f>
        <v>753867.54</v>
      </c>
      <c r="T46" s="199"/>
      <c r="U46" s="200"/>
      <c r="V46" s="207"/>
      <c r="W46" s="207"/>
      <c r="X46" s="207"/>
      <c r="Y46" s="137" t="b">
        <f t="shared" si="0"/>
        <v>1</v>
      </c>
      <c r="Z46" s="179">
        <f t="shared" si="1"/>
        <v>0.6</v>
      </c>
      <c r="AA46" s="180" t="b">
        <f t="shared" si="2"/>
        <v>1</v>
      </c>
      <c r="AB46" s="140" t="b">
        <f t="shared" si="8"/>
        <v>1</v>
      </c>
    </row>
    <row r="47" spans="1:28" s="170" customFormat="1" ht="37.5" customHeight="1">
      <c r="A47" s="249">
        <v>45</v>
      </c>
      <c r="B47" s="243">
        <v>331</v>
      </c>
      <c r="C47" s="183" t="s">
        <v>61</v>
      </c>
      <c r="D47" s="243" t="s">
        <v>65</v>
      </c>
      <c r="E47" s="248">
        <v>2007022</v>
      </c>
      <c r="F47" s="243" t="s">
        <v>58</v>
      </c>
      <c r="G47" s="250" t="s">
        <v>353</v>
      </c>
      <c r="H47" s="246" t="s">
        <v>49</v>
      </c>
      <c r="I47" s="247">
        <v>1.04</v>
      </c>
      <c r="J47" s="262" t="s">
        <v>354</v>
      </c>
      <c r="K47" s="269">
        <v>4417515.9400000004</v>
      </c>
      <c r="L47" s="270">
        <f t="shared" si="6"/>
        <v>2650509.56</v>
      </c>
      <c r="M47" s="269">
        <f t="shared" si="7"/>
        <v>1767006.3800000004</v>
      </c>
      <c r="N47" s="256">
        <v>0.6</v>
      </c>
      <c r="O47" s="253">
        <v>0</v>
      </c>
      <c r="P47" s="253">
        <v>0</v>
      </c>
      <c r="Q47" s="254">
        <v>0</v>
      </c>
      <c r="R47" s="253">
        <v>0</v>
      </c>
      <c r="S47" s="253">
        <f>151000*N47</f>
        <v>90600</v>
      </c>
      <c r="T47" s="253">
        <f>ROUNDDOWN(2133257.97*N47,2)</f>
        <v>1279954.78</v>
      </c>
      <c r="U47" s="253">
        <f>ROUNDDOWN(2133257.97*N47,2)</f>
        <v>1279954.78</v>
      </c>
      <c r="V47" s="207"/>
      <c r="W47" s="207"/>
      <c r="X47" s="207"/>
      <c r="Y47" s="137" t="b">
        <f t="shared" si="0"/>
        <v>1</v>
      </c>
      <c r="Z47" s="179">
        <f t="shared" si="1"/>
        <v>0.6</v>
      </c>
      <c r="AA47" s="180" t="b">
        <f t="shared" si="2"/>
        <v>1</v>
      </c>
      <c r="AB47" s="140" t="b">
        <f t="shared" si="8"/>
        <v>1</v>
      </c>
    </row>
    <row r="48" spans="1:28" s="170" customFormat="1" ht="37.5" customHeight="1">
      <c r="A48" s="196">
        <v>46</v>
      </c>
      <c r="B48" s="185">
        <v>187</v>
      </c>
      <c r="C48" s="295" t="s">
        <v>73</v>
      </c>
      <c r="D48" s="185" t="s">
        <v>201</v>
      </c>
      <c r="E48" s="242">
        <v>2007013</v>
      </c>
      <c r="F48" s="185" t="s">
        <v>58</v>
      </c>
      <c r="G48" s="186" t="s">
        <v>346</v>
      </c>
      <c r="H48" s="182" t="s">
        <v>49</v>
      </c>
      <c r="I48" s="187">
        <v>1.0329999999999999</v>
      </c>
      <c r="J48" s="188" t="s">
        <v>347</v>
      </c>
      <c r="K48" s="271">
        <v>1592000</v>
      </c>
      <c r="L48" s="272">
        <f>ROUNDDOWN(K48*N48,2)</f>
        <v>1273600</v>
      </c>
      <c r="M48" s="271">
        <f t="shared" si="7"/>
        <v>318400</v>
      </c>
      <c r="N48" s="257">
        <v>0.8</v>
      </c>
      <c r="O48" s="199">
        <v>0</v>
      </c>
      <c r="P48" s="199">
        <v>0</v>
      </c>
      <c r="Q48" s="208">
        <v>0</v>
      </c>
      <c r="R48" s="199">
        <v>0</v>
      </c>
      <c r="S48" s="199">
        <f>L48</f>
        <v>1273600</v>
      </c>
      <c r="T48" s="199"/>
      <c r="U48" s="200"/>
      <c r="V48" s="207"/>
      <c r="W48" s="207"/>
      <c r="X48" s="207"/>
      <c r="Y48" s="137" t="b">
        <f t="shared" si="0"/>
        <v>1</v>
      </c>
      <c r="Z48" s="179">
        <f t="shared" si="1"/>
        <v>0.8</v>
      </c>
      <c r="AA48" s="180" t="b">
        <f t="shared" si="2"/>
        <v>1</v>
      </c>
      <c r="AB48" s="140" t="b">
        <f t="shared" si="8"/>
        <v>1</v>
      </c>
    </row>
    <row r="49" spans="1:28" s="170" customFormat="1" ht="37.5" customHeight="1">
      <c r="A49" s="249">
        <v>47</v>
      </c>
      <c r="B49" s="243">
        <v>113</v>
      </c>
      <c r="C49" s="183" t="s">
        <v>61</v>
      </c>
      <c r="D49" s="243" t="s">
        <v>409</v>
      </c>
      <c r="E49" s="248">
        <v>2002032</v>
      </c>
      <c r="F49" s="243" t="s">
        <v>50</v>
      </c>
      <c r="G49" s="250" t="s">
        <v>476</v>
      </c>
      <c r="H49" s="246" t="s">
        <v>49</v>
      </c>
      <c r="I49" s="247">
        <v>0.998</v>
      </c>
      <c r="J49" s="262" t="s">
        <v>411</v>
      </c>
      <c r="K49" s="269">
        <v>2903500</v>
      </c>
      <c r="L49" s="270">
        <f t="shared" si="6"/>
        <v>1742100</v>
      </c>
      <c r="M49" s="269">
        <f t="shared" si="7"/>
        <v>1161400</v>
      </c>
      <c r="N49" s="256">
        <v>0.6</v>
      </c>
      <c r="O49" s="253">
        <v>0</v>
      </c>
      <c r="P49" s="253">
        <v>0</v>
      </c>
      <c r="Q49" s="254">
        <v>0</v>
      </c>
      <c r="R49" s="253">
        <v>0</v>
      </c>
      <c r="S49" s="253">
        <f>50000*N49</f>
        <v>30000</v>
      </c>
      <c r="T49" s="253">
        <f>2853500*N49</f>
        <v>1712100</v>
      </c>
      <c r="U49" s="259"/>
      <c r="V49" s="207"/>
      <c r="W49" s="207"/>
      <c r="X49" s="207"/>
      <c r="Y49" s="137" t="b">
        <f t="shared" si="0"/>
        <v>1</v>
      </c>
      <c r="Z49" s="179">
        <f t="shared" si="1"/>
        <v>0.6</v>
      </c>
      <c r="AA49" s="180" t="b">
        <f t="shared" si="2"/>
        <v>1</v>
      </c>
      <c r="AB49" s="140" t="b">
        <f t="shared" si="8"/>
        <v>1</v>
      </c>
    </row>
    <row r="50" spans="1:28" s="170" customFormat="1" ht="37.5" customHeight="1">
      <c r="A50" s="249">
        <v>48</v>
      </c>
      <c r="B50" s="243">
        <v>125</v>
      </c>
      <c r="C50" s="183" t="s">
        <v>61</v>
      </c>
      <c r="D50" s="243" t="s">
        <v>379</v>
      </c>
      <c r="E50" s="248">
        <v>2002013</v>
      </c>
      <c r="F50" s="243" t="s">
        <v>50</v>
      </c>
      <c r="G50" s="250" t="s">
        <v>481</v>
      </c>
      <c r="H50" s="246" t="s">
        <v>48</v>
      </c>
      <c r="I50" s="247">
        <v>0.91</v>
      </c>
      <c r="J50" s="262" t="s">
        <v>413</v>
      </c>
      <c r="K50" s="269">
        <v>1803013.5</v>
      </c>
      <c r="L50" s="270">
        <f t="shared" si="6"/>
        <v>1081808.1000000001</v>
      </c>
      <c r="M50" s="269">
        <f t="shared" si="7"/>
        <v>721205.39999999991</v>
      </c>
      <c r="N50" s="256">
        <v>0.6</v>
      </c>
      <c r="O50" s="253">
        <v>0</v>
      </c>
      <c r="P50" s="253">
        <v>0</v>
      </c>
      <c r="Q50" s="254">
        <v>0</v>
      </c>
      <c r="R50" s="253">
        <v>0</v>
      </c>
      <c r="S50" s="253">
        <f>53013.5*N50</f>
        <v>31808.1</v>
      </c>
      <c r="T50" s="253">
        <f>1750000*N50</f>
        <v>1050000</v>
      </c>
      <c r="U50" s="200"/>
      <c r="V50" s="207"/>
      <c r="W50" s="207"/>
      <c r="X50" s="207"/>
      <c r="Y50" s="137" t="b">
        <f t="shared" si="0"/>
        <v>1</v>
      </c>
      <c r="Z50" s="179">
        <f t="shared" si="1"/>
        <v>0.6</v>
      </c>
      <c r="AA50" s="180" t="b">
        <f t="shared" si="2"/>
        <v>1</v>
      </c>
      <c r="AB50" s="140" t="b">
        <f t="shared" si="8"/>
        <v>1</v>
      </c>
    </row>
    <row r="51" spans="1:28" s="170" customFormat="1" ht="37.5" customHeight="1">
      <c r="A51" s="196">
        <v>49</v>
      </c>
      <c r="B51" s="185">
        <v>337</v>
      </c>
      <c r="C51" s="295" t="s">
        <v>73</v>
      </c>
      <c r="D51" s="185" t="s">
        <v>105</v>
      </c>
      <c r="E51" s="242">
        <v>2007043</v>
      </c>
      <c r="F51" s="185" t="s">
        <v>58</v>
      </c>
      <c r="G51" s="186" t="s">
        <v>355</v>
      </c>
      <c r="H51" s="182" t="s">
        <v>49</v>
      </c>
      <c r="I51" s="187">
        <v>0.89100000000000001</v>
      </c>
      <c r="J51" s="188" t="s">
        <v>356</v>
      </c>
      <c r="K51" s="271">
        <v>2385639.1</v>
      </c>
      <c r="L51" s="272">
        <f t="shared" si="6"/>
        <v>1431383.46</v>
      </c>
      <c r="M51" s="271">
        <f t="shared" si="7"/>
        <v>954255.64000000013</v>
      </c>
      <c r="N51" s="257">
        <v>0.6</v>
      </c>
      <c r="O51" s="199">
        <v>0</v>
      </c>
      <c r="P51" s="199">
        <v>0</v>
      </c>
      <c r="Q51" s="208">
        <v>0</v>
      </c>
      <c r="R51" s="199">
        <v>0</v>
      </c>
      <c r="S51" s="199">
        <f>L51</f>
        <v>1431383.46</v>
      </c>
      <c r="T51" s="199"/>
      <c r="U51" s="200"/>
      <c r="V51" s="207"/>
      <c r="W51" s="207"/>
      <c r="X51" s="207"/>
      <c r="Y51" s="137" t="b">
        <f t="shared" si="0"/>
        <v>1</v>
      </c>
      <c r="Z51" s="179">
        <f t="shared" si="1"/>
        <v>0.6</v>
      </c>
      <c r="AA51" s="180" t="b">
        <f t="shared" si="2"/>
        <v>1</v>
      </c>
      <c r="AB51" s="140" t="b">
        <f t="shared" si="8"/>
        <v>1</v>
      </c>
    </row>
    <row r="52" spans="1:28" s="170" customFormat="1" ht="37.5" customHeight="1">
      <c r="A52" s="249">
        <v>50</v>
      </c>
      <c r="B52" s="243">
        <v>112</v>
      </c>
      <c r="C52" s="183" t="s">
        <v>61</v>
      </c>
      <c r="D52" s="243" t="s">
        <v>409</v>
      </c>
      <c r="E52" s="248">
        <v>2002032</v>
      </c>
      <c r="F52" s="243" t="s">
        <v>50</v>
      </c>
      <c r="G52" s="250" t="s">
        <v>477</v>
      </c>
      <c r="H52" s="246" t="s">
        <v>49</v>
      </c>
      <c r="I52" s="247">
        <v>0.998</v>
      </c>
      <c r="J52" s="262" t="s">
        <v>411</v>
      </c>
      <c r="K52" s="269">
        <v>2903500</v>
      </c>
      <c r="L52" s="270">
        <f t="shared" si="6"/>
        <v>1742100</v>
      </c>
      <c r="M52" s="269">
        <f t="shared" si="7"/>
        <v>1161400</v>
      </c>
      <c r="N52" s="256">
        <v>0.6</v>
      </c>
      <c r="O52" s="253">
        <v>0</v>
      </c>
      <c r="P52" s="253">
        <v>0</v>
      </c>
      <c r="Q52" s="254">
        <v>0</v>
      </c>
      <c r="R52" s="253">
        <v>0</v>
      </c>
      <c r="S52" s="253">
        <f>50000*N52</f>
        <v>30000</v>
      </c>
      <c r="T52" s="253">
        <f>2853500*N52</f>
        <v>1712100</v>
      </c>
      <c r="U52" s="200"/>
      <c r="V52" s="207"/>
      <c r="W52" s="207"/>
      <c r="X52" s="207"/>
      <c r="Y52" s="137" t="b">
        <f t="shared" si="0"/>
        <v>1</v>
      </c>
      <c r="Z52" s="179">
        <f t="shared" si="1"/>
        <v>0.6</v>
      </c>
      <c r="AA52" s="180" t="b">
        <f t="shared" si="2"/>
        <v>1</v>
      </c>
      <c r="AB52" s="140" t="b">
        <f t="shared" si="8"/>
        <v>1</v>
      </c>
    </row>
    <row r="53" spans="1:28" s="170" customFormat="1" ht="37.5" customHeight="1">
      <c r="A53" s="196">
        <v>51</v>
      </c>
      <c r="B53" s="241">
        <v>14</v>
      </c>
      <c r="C53" s="295" t="s">
        <v>73</v>
      </c>
      <c r="D53" s="241" t="s">
        <v>307</v>
      </c>
      <c r="E53" s="242">
        <v>2007082</v>
      </c>
      <c r="F53" s="241" t="s">
        <v>58</v>
      </c>
      <c r="G53" s="186" t="s">
        <v>308</v>
      </c>
      <c r="H53" s="185" t="s">
        <v>49</v>
      </c>
      <c r="I53" s="187">
        <v>0.89</v>
      </c>
      <c r="J53" s="185" t="s">
        <v>309</v>
      </c>
      <c r="K53" s="271">
        <v>1202500</v>
      </c>
      <c r="L53" s="272">
        <f t="shared" si="6"/>
        <v>721500</v>
      </c>
      <c r="M53" s="271">
        <f t="shared" si="7"/>
        <v>481000</v>
      </c>
      <c r="N53" s="257">
        <v>0.6</v>
      </c>
      <c r="O53" s="199">
        <v>0</v>
      </c>
      <c r="P53" s="199">
        <v>0</v>
      </c>
      <c r="Q53" s="208">
        <v>0</v>
      </c>
      <c r="R53" s="199">
        <v>0</v>
      </c>
      <c r="S53" s="199">
        <f>L53</f>
        <v>721500</v>
      </c>
      <c r="T53" s="199"/>
      <c r="U53" s="200"/>
      <c r="V53" s="207"/>
      <c r="W53" s="207"/>
      <c r="X53" s="207"/>
      <c r="Y53" s="137" t="b">
        <f t="shared" si="0"/>
        <v>1</v>
      </c>
      <c r="Z53" s="179">
        <f t="shared" si="1"/>
        <v>0.6</v>
      </c>
      <c r="AA53" s="180" t="b">
        <f t="shared" si="2"/>
        <v>1</v>
      </c>
      <c r="AB53" s="140" t="b">
        <f t="shared" si="8"/>
        <v>1</v>
      </c>
    </row>
    <row r="54" spans="1:28" s="170" customFormat="1" ht="37.5" customHeight="1">
      <c r="A54" s="196">
        <v>52</v>
      </c>
      <c r="B54" s="185">
        <v>76</v>
      </c>
      <c r="C54" s="295" t="s">
        <v>73</v>
      </c>
      <c r="D54" s="185" t="s">
        <v>198</v>
      </c>
      <c r="E54" s="242">
        <v>2006042</v>
      </c>
      <c r="F54" s="185" t="s">
        <v>90</v>
      </c>
      <c r="G54" s="186" t="s">
        <v>323</v>
      </c>
      <c r="H54" s="182" t="s">
        <v>49</v>
      </c>
      <c r="I54" s="187">
        <v>0.85899999999999999</v>
      </c>
      <c r="J54" s="185" t="s">
        <v>324</v>
      </c>
      <c r="K54" s="271">
        <v>1461500</v>
      </c>
      <c r="L54" s="272">
        <f t="shared" si="6"/>
        <v>876900</v>
      </c>
      <c r="M54" s="271">
        <f t="shared" si="7"/>
        <v>584600</v>
      </c>
      <c r="N54" s="257">
        <v>0.6</v>
      </c>
      <c r="O54" s="199">
        <v>0</v>
      </c>
      <c r="P54" s="199">
        <v>0</v>
      </c>
      <c r="Q54" s="208">
        <v>0</v>
      </c>
      <c r="R54" s="199">
        <v>0</v>
      </c>
      <c r="S54" s="199">
        <f>L54</f>
        <v>876900</v>
      </c>
      <c r="T54" s="199"/>
      <c r="U54" s="200"/>
      <c r="V54" s="207"/>
      <c r="W54" s="207"/>
      <c r="X54" s="207"/>
      <c r="Y54" s="137" t="b">
        <f t="shared" si="0"/>
        <v>1</v>
      </c>
      <c r="Z54" s="179">
        <f t="shared" si="1"/>
        <v>0.6</v>
      </c>
      <c r="AA54" s="180" t="b">
        <f t="shared" si="2"/>
        <v>1</v>
      </c>
      <c r="AB54" s="140" t="b">
        <f t="shared" si="8"/>
        <v>1</v>
      </c>
    </row>
    <row r="55" spans="1:28" s="170" customFormat="1" ht="38.25" customHeight="1">
      <c r="A55" s="249">
        <v>53</v>
      </c>
      <c r="B55" s="243">
        <v>339</v>
      </c>
      <c r="C55" s="183" t="s">
        <v>61</v>
      </c>
      <c r="D55" s="243" t="s">
        <v>416</v>
      </c>
      <c r="E55" s="248">
        <v>2011083</v>
      </c>
      <c r="F55" s="243" t="s">
        <v>51</v>
      </c>
      <c r="G55" s="250" t="s">
        <v>486</v>
      </c>
      <c r="H55" s="246" t="s">
        <v>48</v>
      </c>
      <c r="I55" s="247">
        <v>2.3E-2</v>
      </c>
      <c r="J55" s="262" t="s">
        <v>418</v>
      </c>
      <c r="K55" s="269">
        <v>1648169.6</v>
      </c>
      <c r="L55" s="270">
        <f t="shared" si="6"/>
        <v>988901.76</v>
      </c>
      <c r="M55" s="270">
        <f t="shared" si="7"/>
        <v>659267.84000000008</v>
      </c>
      <c r="N55" s="256">
        <v>0.6</v>
      </c>
      <c r="O55" s="253">
        <v>0</v>
      </c>
      <c r="P55" s="253">
        <v>0</v>
      </c>
      <c r="Q55" s="254">
        <v>0</v>
      </c>
      <c r="R55" s="253">
        <v>0</v>
      </c>
      <c r="S55" s="253">
        <f>824084.8*N55</f>
        <v>494450.88</v>
      </c>
      <c r="T55" s="253">
        <f>824084.8*N55</f>
        <v>494450.88</v>
      </c>
      <c r="U55" s="200"/>
      <c r="V55" s="207"/>
      <c r="W55" s="207"/>
      <c r="X55" s="207"/>
      <c r="Y55" s="137" t="b">
        <f t="shared" si="0"/>
        <v>1</v>
      </c>
      <c r="Z55" s="179">
        <f t="shared" si="1"/>
        <v>0.6</v>
      </c>
      <c r="AA55" s="180" t="b">
        <f t="shared" si="2"/>
        <v>1</v>
      </c>
      <c r="AB55" s="140" t="b">
        <f t="shared" si="8"/>
        <v>1</v>
      </c>
    </row>
    <row r="56" spans="1:28" s="170" customFormat="1" ht="37.5" customHeight="1">
      <c r="A56" s="196">
        <v>54</v>
      </c>
      <c r="B56" s="185">
        <v>73</v>
      </c>
      <c r="C56" s="295" t="s">
        <v>73</v>
      </c>
      <c r="D56" s="185" t="s">
        <v>189</v>
      </c>
      <c r="E56" s="240">
        <v>2013093</v>
      </c>
      <c r="F56" s="185" t="s">
        <v>55</v>
      </c>
      <c r="G56" s="186" t="s">
        <v>377</v>
      </c>
      <c r="H56" s="182" t="s">
        <v>49</v>
      </c>
      <c r="I56" s="187">
        <v>0.85</v>
      </c>
      <c r="J56" s="185" t="s">
        <v>279</v>
      </c>
      <c r="K56" s="271">
        <v>770346</v>
      </c>
      <c r="L56" s="272">
        <f t="shared" si="6"/>
        <v>462207.6</v>
      </c>
      <c r="M56" s="271">
        <f t="shared" si="7"/>
        <v>308138.40000000002</v>
      </c>
      <c r="N56" s="257">
        <v>0.6</v>
      </c>
      <c r="O56" s="199">
        <v>0</v>
      </c>
      <c r="P56" s="199">
        <v>0</v>
      </c>
      <c r="Q56" s="208">
        <v>0</v>
      </c>
      <c r="R56" s="199">
        <v>0</v>
      </c>
      <c r="S56" s="162">
        <f>L56</f>
        <v>462207.6</v>
      </c>
      <c r="T56" s="199"/>
      <c r="U56" s="259"/>
      <c r="V56" s="207"/>
      <c r="W56" s="207"/>
      <c r="X56" s="207"/>
      <c r="Y56" s="137" t="b">
        <f t="shared" si="0"/>
        <v>1</v>
      </c>
      <c r="Z56" s="179">
        <f t="shared" si="1"/>
        <v>0.6</v>
      </c>
      <c r="AA56" s="180" t="b">
        <f t="shared" si="2"/>
        <v>1</v>
      </c>
      <c r="AB56" s="140" t="b">
        <f t="shared" si="8"/>
        <v>1</v>
      </c>
    </row>
    <row r="57" spans="1:28" s="170" customFormat="1" ht="37.5" customHeight="1">
      <c r="A57" s="196">
        <v>55</v>
      </c>
      <c r="B57" s="185">
        <v>70</v>
      </c>
      <c r="C57" s="295" t="s">
        <v>73</v>
      </c>
      <c r="D57" s="185" t="s">
        <v>167</v>
      </c>
      <c r="E57" s="242">
        <v>2001032</v>
      </c>
      <c r="F57" s="185" t="s">
        <v>95</v>
      </c>
      <c r="G57" s="186" t="s">
        <v>318</v>
      </c>
      <c r="H57" s="182" t="s">
        <v>48</v>
      </c>
      <c r="I57" s="187">
        <v>0.84</v>
      </c>
      <c r="J57" s="185" t="s">
        <v>279</v>
      </c>
      <c r="K57" s="271">
        <v>1646640</v>
      </c>
      <c r="L57" s="272">
        <f t="shared" si="6"/>
        <v>987984</v>
      </c>
      <c r="M57" s="271">
        <f t="shared" si="7"/>
        <v>658656</v>
      </c>
      <c r="N57" s="257">
        <v>0.6</v>
      </c>
      <c r="O57" s="199">
        <v>0</v>
      </c>
      <c r="P57" s="199">
        <v>0</v>
      </c>
      <c r="Q57" s="208">
        <v>0</v>
      </c>
      <c r="R57" s="199">
        <v>0</v>
      </c>
      <c r="S57" s="199">
        <f>L57</f>
        <v>987984</v>
      </c>
      <c r="T57" s="199"/>
      <c r="U57" s="200"/>
      <c r="V57" s="207"/>
      <c r="W57" s="207"/>
      <c r="X57" s="207"/>
      <c r="Y57" s="137" t="b">
        <f t="shared" si="0"/>
        <v>1</v>
      </c>
      <c r="Z57" s="179">
        <f t="shared" si="1"/>
        <v>0.6</v>
      </c>
      <c r="AA57" s="180" t="b">
        <f t="shared" si="2"/>
        <v>1</v>
      </c>
      <c r="AB57" s="140" t="b">
        <f t="shared" si="8"/>
        <v>1</v>
      </c>
    </row>
    <row r="58" spans="1:28" s="170" customFormat="1" ht="37.5" customHeight="1">
      <c r="A58" s="196">
        <v>56</v>
      </c>
      <c r="B58" s="185">
        <v>133</v>
      </c>
      <c r="C58" s="295" t="s">
        <v>73</v>
      </c>
      <c r="D58" s="185" t="s">
        <v>199</v>
      </c>
      <c r="E58" s="185">
        <v>2006032</v>
      </c>
      <c r="F58" s="185" t="s">
        <v>90</v>
      </c>
      <c r="G58" s="186" t="s">
        <v>331</v>
      </c>
      <c r="H58" s="182" t="s">
        <v>49</v>
      </c>
      <c r="I58" s="187">
        <v>0.83299999999999996</v>
      </c>
      <c r="J58" s="188" t="s">
        <v>332</v>
      </c>
      <c r="K58" s="271">
        <v>1001000</v>
      </c>
      <c r="L58" s="272">
        <f t="shared" si="6"/>
        <v>600600</v>
      </c>
      <c r="M58" s="271">
        <f t="shared" si="7"/>
        <v>400400</v>
      </c>
      <c r="N58" s="257">
        <v>0.6</v>
      </c>
      <c r="O58" s="199">
        <v>0</v>
      </c>
      <c r="P58" s="199">
        <v>0</v>
      </c>
      <c r="Q58" s="208">
        <v>0</v>
      </c>
      <c r="R58" s="199">
        <v>0</v>
      </c>
      <c r="S58" s="199">
        <f>L58</f>
        <v>600600</v>
      </c>
      <c r="T58" s="199"/>
      <c r="U58" s="200"/>
      <c r="V58" s="207"/>
      <c r="W58" s="207"/>
      <c r="X58" s="207"/>
      <c r="Y58" s="137" t="b">
        <f t="shared" si="0"/>
        <v>1</v>
      </c>
      <c r="Z58" s="179">
        <f t="shared" si="1"/>
        <v>0.6</v>
      </c>
      <c r="AA58" s="180" t="b">
        <f t="shared" si="2"/>
        <v>1</v>
      </c>
      <c r="AB58" s="140" t="b">
        <f t="shared" si="8"/>
        <v>1</v>
      </c>
    </row>
    <row r="59" spans="1:28" s="170" customFormat="1" ht="37.5" customHeight="1">
      <c r="A59" s="196">
        <v>57</v>
      </c>
      <c r="B59" s="185">
        <v>132</v>
      </c>
      <c r="C59" s="295" t="s">
        <v>73</v>
      </c>
      <c r="D59" s="185" t="s">
        <v>482</v>
      </c>
      <c r="E59" s="185">
        <v>2011022</v>
      </c>
      <c r="F59" s="185" t="s">
        <v>51</v>
      </c>
      <c r="G59" s="186" t="s">
        <v>483</v>
      </c>
      <c r="H59" s="182" t="s">
        <v>49</v>
      </c>
      <c r="I59" s="187">
        <v>0.83</v>
      </c>
      <c r="J59" s="188" t="s">
        <v>484</v>
      </c>
      <c r="K59" s="271">
        <v>1017579</v>
      </c>
      <c r="L59" s="272">
        <f t="shared" si="6"/>
        <v>610547.4</v>
      </c>
      <c r="M59" s="272">
        <f t="shared" si="7"/>
        <v>407031.6</v>
      </c>
      <c r="N59" s="257">
        <v>0.6</v>
      </c>
      <c r="O59" s="199">
        <v>0</v>
      </c>
      <c r="P59" s="199">
        <v>0</v>
      </c>
      <c r="Q59" s="208">
        <v>0</v>
      </c>
      <c r="R59" s="199">
        <v>0</v>
      </c>
      <c r="S59" s="199">
        <f>L59</f>
        <v>610547.4</v>
      </c>
      <c r="T59" s="199"/>
      <c r="U59" s="200"/>
      <c r="V59" s="207"/>
      <c r="W59" s="207"/>
      <c r="X59" s="207"/>
      <c r="Y59" s="137" t="b">
        <f t="shared" si="0"/>
        <v>1</v>
      </c>
      <c r="Z59" s="179">
        <f t="shared" si="1"/>
        <v>0.6</v>
      </c>
      <c r="AA59" s="180" t="b">
        <f t="shared" si="2"/>
        <v>1</v>
      </c>
      <c r="AB59" s="140" t="b">
        <f t="shared" si="8"/>
        <v>1</v>
      </c>
    </row>
    <row r="60" spans="1:28" s="170" customFormat="1" ht="37.5" customHeight="1">
      <c r="A60" s="249">
        <v>58</v>
      </c>
      <c r="B60" s="243">
        <v>147</v>
      </c>
      <c r="C60" s="183" t="s">
        <v>61</v>
      </c>
      <c r="D60" s="243" t="s">
        <v>166</v>
      </c>
      <c r="E60" s="248">
        <v>2002042</v>
      </c>
      <c r="F60" s="243" t="s">
        <v>50</v>
      </c>
      <c r="G60" s="250" t="s">
        <v>340</v>
      </c>
      <c r="H60" s="246" t="s">
        <v>49</v>
      </c>
      <c r="I60" s="247">
        <v>0.76</v>
      </c>
      <c r="J60" s="262" t="s">
        <v>341</v>
      </c>
      <c r="K60" s="269">
        <v>1756287.86</v>
      </c>
      <c r="L60" s="270">
        <f t="shared" si="6"/>
        <v>1053772.71</v>
      </c>
      <c r="M60" s="269">
        <f t="shared" si="7"/>
        <v>702515.15000000014</v>
      </c>
      <c r="N60" s="256">
        <v>0.6</v>
      </c>
      <c r="O60" s="253">
        <v>0</v>
      </c>
      <c r="P60" s="253">
        <v>0</v>
      </c>
      <c r="Q60" s="254">
        <v>0</v>
      </c>
      <c r="R60" s="253">
        <v>0</v>
      </c>
      <c r="S60" s="253">
        <f>1132880*N60</f>
        <v>679728</v>
      </c>
      <c r="T60" s="253">
        <f>ROUNDDOWN(623407.86*N60,2)</f>
        <v>374044.71</v>
      </c>
      <c r="U60" s="200"/>
      <c r="V60" s="207"/>
      <c r="W60" s="207"/>
      <c r="X60" s="207"/>
      <c r="Y60" s="137" t="b">
        <f t="shared" si="0"/>
        <v>1</v>
      </c>
      <c r="Z60" s="179">
        <f t="shared" si="1"/>
        <v>0.6</v>
      </c>
      <c r="AA60" s="180" t="b">
        <f t="shared" si="2"/>
        <v>1</v>
      </c>
      <c r="AB60" s="140" t="b">
        <f t="shared" si="8"/>
        <v>1</v>
      </c>
    </row>
    <row r="61" spans="1:28" s="170" customFormat="1" ht="37.5" customHeight="1">
      <c r="A61" s="196">
        <v>59</v>
      </c>
      <c r="B61" s="185">
        <v>193</v>
      </c>
      <c r="C61" s="295" t="s">
        <v>73</v>
      </c>
      <c r="D61" s="185" t="s">
        <v>464</v>
      </c>
      <c r="E61" s="240">
        <v>2008063</v>
      </c>
      <c r="F61" s="185" t="s">
        <v>56</v>
      </c>
      <c r="G61" s="186" t="s">
        <v>465</v>
      </c>
      <c r="H61" s="182" t="s">
        <v>49</v>
      </c>
      <c r="I61" s="187">
        <v>0.76</v>
      </c>
      <c r="J61" s="188" t="s">
        <v>387</v>
      </c>
      <c r="K61" s="271">
        <v>1597205</v>
      </c>
      <c r="L61" s="272">
        <f t="shared" si="6"/>
        <v>1277764</v>
      </c>
      <c r="M61" s="271">
        <f t="shared" si="7"/>
        <v>319441</v>
      </c>
      <c r="N61" s="257">
        <v>0.8</v>
      </c>
      <c r="O61" s="199">
        <v>0</v>
      </c>
      <c r="P61" s="199">
        <v>0</v>
      </c>
      <c r="Q61" s="208">
        <v>0</v>
      </c>
      <c r="R61" s="199">
        <v>0</v>
      </c>
      <c r="S61" s="199">
        <f t="shared" ref="S61:S70" si="9">L61</f>
        <v>1277764</v>
      </c>
      <c r="T61" s="199"/>
      <c r="U61" s="200"/>
      <c r="V61" s="207"/>
      <c r="W61" s="207"/>
      <c r="X61" s="207"/>
      <c r="Y61" s="137" t="b">
        <f t="shared" si="0"/>
        <v>1</v>
      </c>
      <c r="Z61" s="179">
        <f t="shared" si="1"/>
        <v>0.8</v>
      </c>
      <c r="AA61" s="180" t="b">
        <f t="shared" si="2"/>
        <v>1</v>
      </c>
      <c r="AB61" s="140" t="b">
        <f t="shared" si="8"/>
        <v>1</v>
      </c>
    </row>
    <row r="62" spans="1:28" s="170" customFormat="1" ht="37.5" customHeight="1">
      <c r="A62" s="196">
        <v>60</v>
      </c>
      <c r="B62" s="241">
        <v>49</v>
      </c>
      <c r="C62" s="295" t="s">
        <v>73</v>
      </c>
      <c r="D62" s="185" t="s">
        <v>165</v>
      </c>
      <c r="E62" s="242">
        <v>2011052</v>
      </c>
      <c r="F62" s="185" t="s">
        <v>51</v>
      </c>
      <c r="G62" s="186" t="s">
        <v>316</v>
      </c>
      <c r="H62" s="182" t="s">
        <v>48</v>
      </c>
      <c r="I62" s="187">
        <v>0.75800000000000001</v>
      </c>
      <c r="J62" s="185" t="s">
        <v>309</v>
      </c>
      <c r="K62" s="271">
        <v>2341372.75</v>
      </c>
      <c r="L62" s="272">
        <f t="shared" si="6"/>
        <v>1404823.65</v>
      </c>
      <c r="M62" s="271">
        <f t="shared" si="7"/>
        <v>936549.10000000009</v>
      </c>
      <c r="N62" s="257">
        <v>0.6</v>
      </c>
      <c r="O62" s="199">
        <v>0</v>
      </c>
      <c r="P62" s="199">
        <v>0</v>
      </c>
      <c r="Q62" s="208">
        <v>0</v>
      </c>
      <c r="R62" s="199">
        <v>0</v>
      </c>
      <c r="S62" s="199">
        <f t="shared" si="9"/>
        <v>1404823.65</v>
      </c>
      <c r="T62" s="199"/>
      <c r="U62" s="200"/>
      <c r="V62" s="207"/>
      <c r="W62" s="207"/>
      <c r="X62" s="207"/>
      <c r="Y62" s="137" t="b">
        <f t="shared" si="0"/>
        <v>1</v>
      </c>
      <c r="Z62" s="179">
        <f t="shared" si="1"/>
        <v>0.6</v>
      </c>
      <c r="AA62" s="180" t="b">
        <f t="shared" si="2"/>
        <v>1</v>
      </c>
      <c r="AB62" s="140" t="b">
        <f t="shared" si="8"/>
        <v>1</v>
      </c>
    </row>
    <row r="63" spans="1:28" s="170" customFormat="1" ht="37.5" customHeight="1">
      <c r="A63" s="196">
        <v>61</v>
      </c>
      <c r="B63" s="185">
        <v>88</v>
      </c>
      <c r="C63" s="295" t="s">
        <v>73</v>
      </c>
      <c r="D63" s="185" t="s">
        <v>191</v>
      </c>
      <c r="E63" s="240">
        <v>2013102</v>
      </c>
      <c r="F63" s="185" t="s">
        <v>55</v>
      </c>
      <c r="G63" s="186" t="s">
        <v>475</v>
      </c>
      <c r="H63" s="182" t="s">
        <v>49</v>
      </c>
      <c r="I63" s="187">
        <v>0.74</v>
      </c>
      <c r="J63" s="185" t="s">
        <v>326</v>
      </c>
      <c r="K63" s="271">
        <v>1502850</v>
      </c>
      <c r="L63" s="272">
        <f t="shared" si="6"/>
        <v>901710</v>
      </c>
      <c r="M63" s="271">
        <f t="shared" si="7"/>
        <v>601140</v>
      </c>
      <c r="N63" s="257">
        <v>0.6</v>
      </c>
      <c r="O63" s="199">
        <v>0</v>
      </c>
      <c r="P63" s="199">
        <v>0</v>
      </c>
      <c r="Q63" s="208">
        <v>0</v>
      </c>
      <c r="R63" s="199">
        <v>0</v>
      </c>
      <c r="S63" s="199">
        <f t="shared" si="9"/>
        <v>901710</v>
      </c>
      <c r="T63" s="199"/>
      <c r="U63" s="200"/>
      <c r="V63" s="207"/>
      <c r="W63" s="207"/>
      <c r="X63" s="207"/>
      <c r="Y63" s="137" t="b">
        <f t="shared" si="0"/>
        <v>1</v>
      </c>
      <c r="Z63" s="179">
        <f t="shared" si="1"/>
        <v>0.6</v>
      </c>
      <c r="AA63" s="180" t="b">
        <f t="shared" si="2"/>
        <v>1</v>
      </c>
      <c r="AB63" s="140" t="b">
        <f t="shared" ref="AB63:AB92" si="10">K63=L63+M63</f>
        <v>1</v>
      </c>
    </row>
    <row r="64" spans="1:28" s="170" customFormat="1" ht="37.5" customHeight="1">
      <c r="A64" s="196">
        <v>62</v>
      </c>
      <c r="B64" s="185">
        <v>139</v>
      </c>
      <c r="C64" s="295" t="s">
        <v>73</v>
      </c>
      <c r="D64" s="185" t="s">
        <v>335</v>
      </c>
      <c r="E64" s="242">
        <v>2004053</v>
      </c>
      <c r="F64" s="185" t="s">
        <v>52</v>
      </c>
      <c r="G64" s="186" t="s">
        <v>336</v>
      </c>
      <c r="H64" s="182" t="s">
        <v>49</v>
      </c>
      <c r="I64" s="187">
        <v>0.63</v>
      </c>
      <c r="J64" s="188" t="s">
        <v>276</v>
      </c>
      <c r="K64" s="271">
        <v>3242170.89</v>
      </c>
      <c r="L64" s="272">
        <f t="shared" si="6"/>
        <v>1945302.53</v>
      </c>
      <c r="M64" s="271">
        <f t="shared" si="7"/>
        <v>1296868.3600000001</v>
      </c>
      <c r="N64" s="257">
        <v>0.6</v>
      </c>
      <c r="O64" s="199">
        <v>0</v>
      </c>
      <c r="P64" s="199">
        <v>0</v>
      </c>
      <c r="Q64" s="208">
        <v>0</v>
      </c>
      <c r="R64" s="199">
        <v>0</v>
      </c>
      <c r="S64" s="199">
        <f t="shared" si="9"/>
        <v>1945302.53</v>
      </c>
      <c r="T64" s="199"/>
      <c r="U64" s="200"/>
      <c r="V64" s="207"/>
      <c r="W64" s="207"/>
      <c r="X64" s="207"/>
      <c r="Y64" s="137" t="b">
        <f t="shared" si="0"/>
        <v>1</v>
      </c>
      <c r="Z64" s="179">
        <f t="shared" si="1"/>
        <v>0.6</v>
      </c>
      <c r="AA64" s="180" t="b">
        <f t="shared" si="2"/>
        <v>1</v>
      </c>
      <c r="AB64" s="140" t="b">
        <f t="shared" si="10"/>
        <v>1</v>
      </c>
    </row>
    <row r="65" spans="1:28" s="170" customFormat="1" ht="42.75" customHeight="1">
      <c r="A65" s="196">
        <v>63</v>
      </c>
      <c r="B65" s="241">
        <v>159</v>
      </c>
      <c r="C65" s="295" t="s">
        <v>73</v>
      </c>
      <c r="D65" s="185" t="s">
        <v>93</v>
      </c>
      <c r="E65" s="242">
        <v>2012022</v>
      </c>
      <c r="F65" s="185" t="s">
        <v>54</v>
      </c>
      <c r="G65" s="186" t="s">
        <v>206</v>
      </c>
      <c r="H65" s="182" t="s">
        <v>49</v>
      </c>
      <c r="I65" s="187">
        <v>0.60199999999999998</v>
      </c>
      <c r="J65" s="188" t="s">
        <v>256</v>
      </c>
      <c r="K65" s="271">
        <v>1862122.8</v>
      </c>
      <c r="L65" s="272">
        <f t="shared" si="6"/>
        <v>1117273.68</v>
      </c>
      <c r="M65" s="271">
        <f t="shared" si="7"/>
        <v>744849.12000000011</v>
      </c>
      <c r="N65" s="257">
        <v>0.6</v>
      </c>
      <c r="O65" s="199">
        <v>0</v>
      </c>
      <c r="P65" s="199">
        <v>0</v>
      </c>
      <c r="Q65" s="208">
        <v>0</v>
      </c>
      <c r="R65" s="199">
        <v>0</v>
      </c>
      <c r="S65" s="199">
        <f t="shared" si="9"/>
        <v>1117273.68</v>
      </c>
      <c r="T65" s="199"/>
      <c r="U65" s="200"/>
      <c r="V65" s="207"/>
      <c r="W65" s="207"/>
      <c r="X65" s="207"/>
      <c r="Y65" s="137" t="b">
        <f t="shared" si="0"/>
        <v>1</v>
      </c>
      <c r="Z65" s="179">
        <f t="shared" si="1"/>
        <v>0.6</v>
      </c>
      <c r="AA65" s="180" t="b">
        <f t="shared" si="2"/>
        <v>1</v>
      </c>
      <c r="AB65" s="140" t="b">
        <f t="shared" si="10"/>
        <v>1</v>
      </c>
    </row>
    <row r="66" spans="1:28" s="170" customFormat="1" ht="37.5" customHeight="1">
      <c r="A66" s="196">
        <v>64</v>
      </c>
      <c r="B66" s="185">
        <v>178</v>
      </c>
      <c r="C66" s="295" t="s">
        <v>73</v>
      </c>
      <c r="D66" s="185" t="s">
        <v>195</v>
      </c>
      <c r="E66" s="242">
        <v>2003052</v>
      </c>
      <c r="F66" s="185" t="s">
        <v>53</v>
      </c>
      <c r="G66" s="186" t="s">
        <v>204</v>
      </c>
      <c r="H66" s="182" t="s">
        <v>49</v>
      </c>
      <c r="I66" s="187">
        <v>0.59399999999999997</v>
      </c>
      <c r="J66" s="188" t="s">
        <v>345</v>
      </c>
      <c r="K66" s="271">
        <v>1740000</v>
      </c>
      <c r="L66" s="272">
        <f t="shared" si="6"/>
        <v>1044000</v>
      </c>
      <c r="M66" s="271">
        <f t="shared" si="7"/>
        <v>696000</v>
      </c>
      <c r="N66" s="257">
        <v>0.6</v>
      </c>
      <c r="O66" s="199">
        <v>0</v>
      </c>
      <c r="P66" s="199">
        <v>0</v>
      </c>
      <c r="Q66" s="208">
        <v>0</v>
      </c>
      <c r="R66" s="199">
        <v>0</v>
      </c>
      <c r="S66" s="199">
        <f t="shared" si="9"/>
        <v>1044000</v>
      </c>
      <c r="T66" s="199"/>
      <c r="U66" s="200"/>
      <c r="V66" s="207"/>
      <c r="W66" s="207"/>
      <c r="X66" s="207"/>
      <c r="Y66" s="137" t="b">
        <f t="shared" si="0"/>
        <v>1</v>
      </c>
      <c r="Z66" s="179">
        <f t="shared" si="1"/>
        <v>0.6</v>
      </c>
      <c r="AA66" s="180" t="b">
        <f t="shared" si="2"/>
        <v>1</v>
      </c>
      <c r="AB66" s="140" t="b">
        <f t="shared" si="10"/>
        <v>1</v>
      </c>
    </row>
    <row r="67" spans="1:28" s="170" customFormat="1" ht="37.5" customHeight="1">
      <c r="A67" s="196">
        <v>65</v>
      </c>
      <c r="B67" s="241">
        <v>276</v>
      </c>
      <c r="C67" s="295" t="s">
        <v>73</v>
      </c>
      <c r="D67" s="185" t="s">
        <v>161</v>
      </c>
      <c r="E67" s="242">
        <v>2013033</v>
      </c>
      <c r="F67" s="185" t="s">
        <v>55</v>
      </c>
      <c r="G67" s="186" t="s">
        <v>162</v>
      </c>
      <c r="H67" s="182" t="s">
        <v>49</v>
      </c>
      <c r="I67" s="187">
        <v>0.56899999999999995</v>
      </c>
      <c r="J67" s="188" t="s">
        <v>349</v>
      </c>
      <c r="K67" s="271">
        <v>4074407</v>
      </c>
      <c r="L67" s="272">
        <f t="shared" ref="L67:L96" si="11">ROUNDDOWN(K67*N67,2)</f>
        <v>2444644.2000000002</v>
      </c>
      <c r="M67" s="271">
        <f t="shared" ref="M67:M96" si="12">K67-L67</f>
        <v>1629762.7999999998</v>
      </c>
      <c r="N67" s="257">
        <v>0.6</v>
      </c>
      <c r="O67" s="199">
        <v>0</v>
      </c>
      <c r="P67" s="199">
        <v>0</v>
      </c>
      <c r="Q67" s="208">
        <v>0</v>
      </c>
      <c r="R67" s="199">
        <v>0</v>
      </c>
      <c r="S67" s="199">
        <f t="shared" si="9"/>
        <v>2444644.2000000002</v>
      </c>
      <c r="T67" s="199"/>
      <c r="U67" s="200"/>
      <c r="V67" s="207"/>
      <c r="W67" s="207"/>
      <c r="X67" s="207"/>
      <c r="Y67" s="137" t="b">
        <f t="shared" ref="Y67:Y109" si="13">L67=SUM(O67:X67)</f>
        <v>1</v>
      </c>
      <c r="Z67" s="179">
        <f t="shared" ref="Z67:Z105" si="14">ROUND(L67/K67,4)</f>
        <v>0.6</v>
      </c>
      <c r="AA67" s="180" t="b">
        <f t="shared" ref="AA67:AA105" si="15">Z67=N67</f>
        <v>1</v>
      </c>
      <c r="AB67" s="140" t="b">
        <f t="shared" si="10"/>
        <v>1</v>
      </c>
    </row>
    <row r="68" spans="1:28" s="170" customFormat="1" ht="38.25" customHeight="1">
      <c r="A68" s="196">
        <v>66</v>
      </c>
      <c r="B68" s="185">
        <v>226</v>
      </c>
      <c r="C68" s="295" t="s">
        <v>73</v>
      </c>
      <c r="D68" s="185" t="s">
        <v>163</v>
      </c>
      <c r="E68" s="240">
        <v>2002063</v>
      </c>
      <c r="F68" s="185" t="s">
        <v>50</v>
      </c>
      <c r="G68" s="186" t="s">
        <v>490</v>
      </c>
      <c r="H68" s="182" t="s">
        <v>48</v>
      </c>
      <c r="I68" s="187">
        <v>0.51</v>
      </c>
      <c r="J68" s="188" t="s">
        <v>491</v>
      </c>
      <c r="K68" s="271">
        <v>1251000</v>
      </c>
      <c r="L68" s="272">
        <f t="shared" si="11"/>
        <v>750600</v>
      </c>
      <c r="M68" s="272">
        <f t="shared" si="12"/>
        <v>500400</v>
      </c>
      <c r="N68" s="257">
        <v>0.6</v>
      </c>
      <c r="O68" s="199">
        <v>0</v>
      </c>
      <c r="P68" s="199">
        <v>0</v>
      </c>
      <c r="Q68" s="208">
        <v>0</v>
      </c>
      <c r="R68" s="199">
        <v>0</v>
      </c>
      <c r="S68" s="199">
        <f t="shared" si="9"/>
        <v>750600</v>
      </c>
      <c r="T68" s="199"/>
      <c r="U68" s="200"/>
      <c r="V68" s="207"/>
      <c r="W68" s="207"/>
      <c r="X68" s="207"/>
      <c r="Y68" s="137" t="b">
        <f t="shared" si="13"/>
        <v>1</v>
      </c>
      <c r="Z68" s="179">
        <f t="shared" si="14"/>
        <v>0.6</v>
      </c>
      <c r="AA68" s="180" t="b">
        <f t="shared" si="15"/>
        <v>1</v>
      </c>
      <c r="AB68" s="140" t="b">
        <f t="shared" si="10"/>
        <v>1</v>
      </c>
    </row>
    <row r="69" spans="1:28" s="170" customFormat="1" ht="37.5" customHeight="1">
      <c r="A69" s="196">
        <v>67</v>
      </c>
      <c r="B69" s="241">
        <v>156</v>
      </c>
      <c r="C69" s="295" t="s">
        <v>73</v>
      </c>
      <c r="D69" s="185" t="s">
        <v>66</v>
      </c>
      <c r="E69" s="242">
        <v>2002112</v>
      </c>
      <c r="F69" s="185" t="s">
        <v>50</v>
      </c>
      <c r="G69" s="186" t="s">
        <v>342</v>
      </c>
      <c r="H69" s="182" t="s">
        <v>49</v>
      </c>
      <c r="I69" s="187">
        <v>0.52900000000000003</v>
      </c>
      <c r="J69" s="188" t="s">
        <v>276</v>
      </c>
      <c r="K69" s="271">
        <v>1687838</v>
      </c>
      <c r="L69" s="272">
        <f t="shared" si="11"/>
        <v>1012702.8</v>
      </c>
      <c r="M69" s="271">
        <f t="shared" si="12"/>
        <v>675135.2</v>
      </c>
      <c r="N69" s="257">
        <v>0.6</v>
      </c>
      <c r="O69" s="199">
        <v>0</v>
      </c>
      <c r="P69" s="199">
        <v>0</v>
      </c>
      <c r="Q69" s="208">
        <v>0</v>
      </c>
      <c r="R69" s="199">
        <v>0</v>
      </c>
      <c r="S69" s="199">
        <f t="shared" si="9"/>
        <v>1012702.8</v>
      </c>
      <c r="T69" s="199"/>
      <c r="U69" s="200"/>
      <c r="V69" s="207"/>
      <c r="W69" s="207"/>
      <c r="X69" s="207"/>
      <c r="Y69" s="137" t="b">
        <f t="shared" si="13"/>
        <v>1</v>
      </c>
      <c r="Z69" s="179">
        <f t="shared" si="14"/>
        <v>0.6</v>
      </c>
      <c r="AA69" s="180" t="b">
        <f t="shared" si="15"/>
        <v>1</v>
      </c>
      <c r="AB69" s="140" t="b">
        <f t="shared" si="10"/>
        <v>1</v>
      </c>
    </row>
    <row r="70" spans="1:28" s="170" customFormat="1" ht="37.5" customHeight="1">
      <c r="A70" s="196">
        <v>68</v>
      </c>
      <c r="B70" s="241">
        <v>33</v>
      </c>
      <c r="C70" s="295" t="s">
        <v>73</v>
      </c>
      <c r="D70" s="241" t="s">
        <v>103</v>
      </c>
      <c r="E70" s="242">
        <v>2007052</v>
      </c>
      <c r="F70" s="241" t="s">
        <v>58</v>
      </c>
      <c r="G70" s="186" t="s">
        <v>313</v>
      </c>
      <c r="H70" s="182" t="s">
        <v>49</v>
      </c>
      <c r="I70" s="187">
        <v>0.49</v>
      </c>
      <c r="J70" s="185" t="s">
        <v>314</v>
      </c>
      <c r="K70" s="271">
        <v>1899431.39</v>
      </c>
      <c r="L70" s="272">
        <f t="shared" si="11"/>
        <v>1139658.83</v>
      </c>
      <c r="M70" s="271">
        <f t="shared" si="12"/>
        <v>759772.55999999982</v>
      </c>
      <c r="N70" s="257">
        <v>0.6</v>
      </c>
      <c r="O70" s="199">
        <v>0</v>
      </c>
      <c r="P70" s="199">
        <v>0</v>
      </c>
      <c r="Q70" s="208">
        <v>0</v>
      </c>
      <c r="R70" s="199">
        <v>0</v>
      </c>
      <c r="S70" s="199">
        <f t="shared" si="9"/>
        <v>1139658.83</v>
      </c>
      <c r="T70" s="199"/>
      <c r="U70" s="200"/>
      <c r="V70" s="207"/>
      <c r="W70" s="207"/>
      <c r="X70" s="207"/>
      <c r="Y70" s="137" t="b">
        <f t="shared" si="13"/>
        <v>1</v>
      </c>
      <c r="Z70" s="179">
        <f t="shared" si="14"/>
        <v>0.6</v>
      </c>
      <c r="AA70" s="180" t="b">
        <f t="shared" si="15"/>
        <v>1</v>
      </c>
      <c r="AB70" s="140" t="b">
        <f t="shared" si="10"/>
        <v>1</v>
      </c>
    </row>
    <row r="71" spans="1:28" s="170" customFormat="1" ht="37.5" customHeight="1">
      <c r="A71" s="249">
        <v>69</v>
      </c>
      <c r="B71" s="243">
        <v>291</v>
      </c>
      <c r="C71" s="183" t="s">
        <v>61</v>
      </c>
      <c r="D71" s="243" t="s">
        <v>370</v>
      </c>
      <c r="E71" s="248">
        <v>2006022</v>
      </c>
      <c r="F71" s="243" t="s">
        <v>90</v>
      </c>
      <c r="G71" s="250" t="s">
        <v>373</v>
      </c>
      <c r="H71" s="246" t="s">
        <v>49</v>
      </c>
      <c r="I71" s="247">
        <v>0.43</v>
      </c>
      <c r="J71" s="262" t="s">
        <v>374</v>
      </c>
      <c r="K71" s="269">
        <v>734000</v>
      </c>
      <c r="L71" s="270">
        <f t="shared" si="11"/>
        <v>440400</v>
      </c>
      <c r="M71" s="269">
        <f t="shared" si="12"/>
        <v>293600</v>
      </c>
      <c r="N71" s="256">
        <v>0.6</v>
      </c>
      <c r="O71" s="253">
        <v>0</v>
      </c>
      <c r="P71" s="253">
        <v>0</v>
      </c>
      <c r="Q71" s="254">
        <v>0</v>
      </c>
      <c r="R71" s="253">
        <v>0</v>
      </c>
      <c r="S71" s="253">
        <f>3000*N71</f>
        <v>1800</v>
      </c>
      <c r="T71" s="253">
        <f>731000*N71</f>
        <v>438600</v>
      </c>
      <c r="U71" s="200"/>
      <c r="V71" s="207"/>
      <c r="W71" s="207"/>
      <c r="X71" s="207"/>
      <c r="Y71" s="137" t="b">
        <f t="shared" si="13"/>
        <v>1</v>
      </c>
      <c r="Z71" s="179">
        <f t="shared" si="14"/>
        <v>0.6</v>
      </c>
      <c r="AA71" s="180" t="b">
        <f t="shared" si="15"/>
        <v>1</v>
      </c>
      <c r="AB71" s="140" t="b">
        <f t="shared" si="10"/>
        <v>1</v>
      </c>
    </row>
    <row r="72" spans="1:28" s="170" customFormat="1" ht="37.5" customHeight="1">
      <c r="A72" s="196">
        <v>70</v>
      </c>
      <c r="B72" s="185">
        <v>8</v>
      </c>
      <c r="C72" s="295" t="s">
        <v>73</v>
      </c>
      <c r="D72" s="185" t="s">
        <v>173</v>
      </c>
      <c r="E72" s="240">
        <v>2012032</v>
      </c>
      <c r="F72" s="185" t="s">
        <v>54</v>
      </c>
      <c r="G72" s="186" t="s">
        <v>305</v>
      </c>
      <c r="H72" s="185" t="s">
        <v>49</v>
      </c>
      <c r="I72" s="187">
        <v>0.38500000000000001</v>
      </c>
      <c r="J72" s="188" t="s">
        <v>306</v>
      </c>
      <c r="K72" s="271">
        <v>968050</v>
      </c>
      <c r="L72" s="272">
        <f t="shared" si="11"/>
        <v>580830</v>
      </c>
      <c r="M72" s="271">
        <f t="shared" si="12"/>
        <v>387220</v>
      </c>
      <c r="N72" s="257">
        <v>0.6</v>
      </c>
      <c r="O72" s="199">
        <v>0</v>
      </c>
      <c r="P72" s="199">
        <v>0</v>
      </c>
      <c r="Q72" s="208">
        <v>0</v>
      </c>
      <c r="R72" s="199">
        <v>0</v>
      </c>
      <c r="S72" s="199">
        <f t="shared" ref="S72:S83" si="16">L72</f>
        <v>580830</v>
      </c>
      <c r="T72" s="199"/>
      <c r="U72" s="200"/>
      <c r="V72" s="207"/>
      <c r="W72" s="207"/>
      <c r="X72" s="207"/>
      <c r="Y72" s="137" t="b">
        <f t="shared" si="13"/>
        <v>1</v>
      </c>
      <c r="Z72" s="179">
        <f t="shared" si="14"/>
        <v>0.6</v>
      </c>
      <c r="AA72" s="180" t="b">
        <f t="shared" si="15"/>
        <v>1</v>
      </c>
      <c r="AB72" s="140" t="b">
        <f t="shared" si="10"/>
        <v>1</v>
      </c>
    </row>
    <row r="73" spans="1:28" s="236" customFormat="1" ht="37.5" customHeight="1">
      <c r="A73" s="196">
        <v>71</v>
      </c>
      <c r="B73" s="185">
        <v>26</v>
      </c>
      <c r="C73" s="295" t="s">
        <v>73</v>
      </c>
      <c r="D73" s="185" t="s">
        <v>460</v>
      </c>
      <c r="E73" s="240">
        <v>2063000</v>
      </c>
      <c r="F73" s="185" t="s">
        <v>54</v>
      </c>
      <c r="G73" s="186" t="s">
        <v>461</v>
      </c>
      <c r="H73" s="182" t="s">
        <v>48</v>
      </c>
      <c r="I73" s="187">
        <v>0.371</v>
      </c>
      <c r="J73" s="185" t="s">
        <v>290</v>
      </c>
      <c r="K73" s="271">
        <v>3244909.87</v>
      </c>
      <c r="L73" s="272">
        <f t="shared" si="11"/>
        <v>1946945.92</v>
      </c>
      <c r="M73" s="271">
        <f t="shared" si="12"/>
        <v>1297963.9500000002</v>
      </c>
      <c r="N73" s="257">
        <v>0.6</v>
      </c>
      <c r="O73" s="199">
        <v>0</v>
      </c>
      <c r="P73" s="199">
        <v>0</v>
      </c>
      <c r="Q73" s="208">
        <v>0</v>
      </c>
      <c r="R73" s="199">
        <v>0</v>
      </c>
      <c r="S73" s="199">
        <f t="shared" si="16"/>
        <v>1946945.92</v>
      </c>
      <c r="T73" s="199"/>
      <c r="U73" s="200"/>
      <c r="V73" s="207"/>
      <c r="W73" s="207"/>
      <c r="X73" s="207"/>
      <c r="Y73" s="137" t="b">
        <f t="shared" si="13"/>
        <v>1</v>
      </c>
      <c r="Z73" s="179">
        <f t="shared" si="14"/>
        <v>0.6</v>
      </c>
      <c r="AA73" s="180" t="b">
        <f t="shared" si="15"/>
        <v>1</v>
      </c>
      <c r="AB73" s="140" t="b">
        <f t="shared" si="10"/>
        <v>1</v>
      </c>
    </row>
    <row r="74" spans="1:28" s="170" customFormat="1" ht="37.5" customHeight="1">
      <c r="A74" s="196">
        <v>72</v>
      </c>
      <c r="B74" s="185">
        <v>137</v>
      </c>
      <c r="C74" s="295" t="s">
        <v>73</v>
      </c>
      <c r="D74" s="185" t="s">
        <v>176</v>
      </c>
      <c r="E74" s="240">
        <v>2010023</v>
      </c>
      <c r="F74" s="185" t="s">
        <v>59</v>
      </c>
      <c r="G74" s="186" t="s">
        <v>333</v>
      </c>
      <c r="H74" s="182" t="s">
        <v>49</v>
      </c>
      <c r="I74" s="187">
        <v>0.37</v>
      </c>
      <c r="J74" s="188" t="s">
        <v>334</v>
      </c>
      <c r="K74" s="271">
        <v>862373</v>
      </c>
      <c r="L74" s="272">
        <f t="shared" si="11"/>
        <v>517423.8</v>
      </c>
      <c r="M74" s="271">
        <f t="shared" si="12"/>
        <v>344949.2</v>
      </c>
      <c r="N74" s="257">
        <v>0.6</v>
      </c>
      <c r="O74" s="199">
        <v>0</v>
      </c>
      <c r="P74" s="199">
        <v>0</v>
      </c>
      <c r="Q74" s="208">
        <v>0</v>
      </c>
      <c r="R74" s="199">
        <v>0</v>
      </c>
      <c r="S74" s="199">
        <f t="shared" si="16"/>
        <v>517423.8</v>
      </c>
      <c r="T74" s="199"/>
      <c r="U74" s="200"/>
      <c r="V74" s="207"/>
      <c r="W74" s="207"/>
      <c r="X74" s="207"/>
      <c r="Y74" s="137" t="b">
        <f t="shared" si="13"/>
        <v>1</v>
      </c>
      <c r="Z74" s="179">
        <f t="shared" si="14"/>
        <v>0.6</v>
      </c>
      <c r="AA74" s="180" t="b">
        <f t="shared" si="15"/>
        <v>1</v>
      </c>
      <c r="AB74" s="140" t="b">
        <f t="shared" si="10"/>
        <v>1</v>
      </c>
    </row>
    <row r="75" spans="1:28" s="170" customFormat="1" ht="37.5" customHeight="1">
      <c r="A75" s="196">
        <v>73</v>
      </c>
      <c r="B75" s="185">
        <v>140</v>
      </c>
      <c r="C75" s="295" t="s">
        <v>73</v>
      </c>
      <c r="D75" s="185" t="s">
        <v>337</v>
      </c>
      <c r="E75" s="240">
        <v>2010052</v>
      </c>
      <c r="F75" s="185" t="s">
        <v>59</v>
      </c>
      <c r="G75" s="186" t="s">
        <v>338</v>
      </c>
      <c r="H75" s="182" t="s">
        <v>49</v>
      </c>
      <c r="I75" s="187">
        <v>0.33800000000000002</v>
      </c>
      <c r="J75" s="188" t="s">
        <v>263</v>
      </c>
      <c r="K75" s="271">
        <v>402475</v>
      </c>
      <c r="L75" s="272">
        <f t="shared" si="11"/>
        <v>321980</v>
      </c>
      <c r="M75" s="271">
        <f t="shared" si="12"/>
        <v>80495</v>
      </c>
      <c r="N75" s="257">
        <v>0.8</v>
      </c>
      <c r="O75" s="199">
        <v>0</v>
      </c>
      <c r="P75" s="199">
        <v>0</v>
      </c>
      <c r="Q75" s="208">
        <v>0</v>
      </c>
      <c r="R75" s="199">
        <v>0</v>
      </c>
      <c r="S75" s="199">
        <f t="shared" si="16"/>
        <v>321980</v>
      </c>
      <c r="T75" s="199"/>
      <c r="U75" s="200"/>
      <c r="V75" s="207"/>
      <c r="W75" s="207"/>
      <c r="X75" s="207"/>
      <c r="Y75" s="137" t="b">
        <f t="shared" si="13"/>
        <v>1</v>
      </c>
      <c r="Z75" s="179">
        <f t="shared" si="14"/>
        <v>0.8</v>
      </c>
      <c r="AA75" s="180" t="b">
        <f t="shared" si="15"/>
        <v>1</v>
      </c>
      <c r="AB75" s="140" t="b">
        <f t="shared" si="10"/>
        <v>1</v>
      </c>
    </row>
    <row r="76" spans="1:28" s="170" customFormat="1" ht="37.5" customHeight="1">
      <c r="A76" s="196">
        <v>74</v>
      </c>
      <c r="B76" s="185">
        <v>90</v>
      </c>
      <c r="C76" s="295" t="s">
        <v>73</v>
      </c>
      <c r="D76" s="185" t="s">
        <v>191</v>
      </c>
      <c r="E76" s="240">
        <v>2013102</v>
      </c>
      <c r="F76" s="185" t="s">
        <v>55</v>
      </c>
      <c r="G76" s="186" t="s">
        <v>325</v>
      </c>
      <c r="H76" s="182" t="s">
        <v>49</v>
      </c>
      <c r="I76" s="187">
        <v>0.33</v>
      </c>
      <c r="J76" s="185" t="s">
        <v>326</v>
      </c>
      <c r="K76" s="271">
        <v>848800</v>
      </c>
      <c r="L76" s="272">
        <f t="shared" si="11"/>
        <v>509280</v>
      </c>
      <c r="M76" s="271">
        <f t="shared" si="12"/>
        <v>339520</v>
      </c>
      <c r="N76" s="257">
        <v>0.6</v>
      </c>
      <c r="O76" s="199">
        <v>0</v>
      </c>
      <c r="P76" s="199">
        <v>0</v>
      </c>
      <c r="Q76" s="208">
        <v>0</v>
      </c>
      <c r="R76" s="199">
        <v>0</v>
      </c>
      <c r="S76" s="199">
        <f t="shared" si="16"/>
        <v>509280</v>
      </c>
      <c r="T76" s="199"/>
      <c r="U76" s="200"/>
      <c r="V76" s="207"/>
      <c r="W76" s="207"/>
      <c r="X76" s="207"/>
      <c r="Y76" s="137" t="b">
        <f t="shared" si="13"/>
        <v>1</v>
      </c>
      <c r="Z76" s="179">
        <f t="shared" si="14"/>
        <v>0.6</v>
      </c>
      <c r="AA76" s="180" t="b">
        <f t="shared" si="15"/>
        <v>1</v>
      </c>
      <c r="AB76" s="140" t="b">
        <f t="shared" si="10"/>
        <v>1</v>
      </c>
    </row>
    <row r="77" spans="1:28" s="170" customFormat="1" ht="37.5" customHeight="1">
      <c r="A77" s="196">
        <v>75</v>
      </c>
      <c r="B77" s="185">
        <v>96</v>
      </c>
      <c r="C77" s="295" t="s">
        <v>73</v>
      </c>
      <c r="D77" s="185" t="s">
        <v>196</v>
      </c>
      <c r="E77" s="240">
        <v>2006011</v>
      </c>
      <c r="F77" s="185" t="s">
        <v>90</v>
      </c>
      <c r="G77" s="186" t="s">
        <v>327</v>
      </c>
      <c r="H77" s="182" t="s">
        <v>48</v>
      </c>
      <c r="I77" s="187">
        <v>0.32200000000000001</v>
      </c>
      <c r="J77" s="185" t="s">
        <v>258</v>
      </c>
      <c r="K77" s="271">
        <v>1015000</v>
      </c>
      <c r="L77" s="272">
        <f t="shared" si="11"/>
        <v>609000</v>
      </c>
      <c r="M77" s="271">
        <f t="shared" si="12"/>
        <v>406000</v>
      </c>
      <c r="N77" s="257">
        <v>0.6</v>
      </c>
      <c r="O77" s="199">
        <v>0</v>
      </c>
      <c r="P77" s="199">
        <v>0</v>
      </c>
      <c r="Q77" s="208">
        <v>0</v>
      </c>
      <c r="R77" s="199">
        <v>0</v>
      </c>
      <c r="S77" s="199">
        <f t="shared" si="16"/>
        <v>609000</v>
      </c>
      <c r="T77" s="199"/>
      <c r="U77" s="200"/>
      <c r="V77" s="207"/>
      <c r="W77" s="207"/>
      <c r="X77" s="207"/>
      <c r="Y77" s="137" t="b">
        <f t="shared" si="13"/>
        <v>1</v>
      </c>
      <c r="Z77" s="179">
        <f t="shared" si="14"/>
        <v>0.6</v>
      </c>
      <c r="AA77" s="180" t="b">
        <f t="shared" si="15"/>
        <v>1</v>
      </c>
      <c r="AB77" s="140" t="b">
        <f t="shared" si="10"/>
        <v>1</v>
      </c>
    </row>
    <row r="78" spans="1:28" s="170" customFormat="1" ht="37.5" customHeight="1">
      <c r="A78" s="196">
        <v>76</v>
      </c>
      <c r="B78" s="185">
        <v>278</v>
      </c>
      <c r="C78" s="295" t="s">
        <v>73</v>
      </c>
      <c r="D78" s="185" t="s">
        <v>190</v>
      </c>
      <c r="E78" s="240">
        <v>2010072</v>
      </c>
      <c r="F78" s="185" t="s">
        <v>59</v>
      </c>
      <c r="G78" s="186" t="s">
        <v>366</v>
      </c>
      <c r="H78" s="182" t="s">
        <v>49</v>
      </c>
      <c r="I78" s="187">
        <v>0.32</v>
      </c>
      <c r="J78" s="188" t="s">
        <v>259</v>
      </c>
      <c r="K78" s="271">
        <v>923910.44</v>
      </c>
      <c r="L78" s="272">
        <f t="shared" si="11"/>
        <v>554346.26</v>
      </c>
      <c r="M78" s="271">
        <f t="shared" si="12"/>
        <v>369564.17999999993</v>
      </c>
      <c r="N78" s="257">
        <v>0.6</v>
      </c>
      <c r="O78" s="199">
        <v>0</v>
      </c>
      <c r="P78" s="199">
        <v>0</v>
      </c>
      <c r="Q78" s="208">
        <v>0</v>
      </c>
      <c r="R78" s="199">
        <v>0</v>
      </c>
      <c r="S78" s="199">
        <f t="shared" si="16"/>
        <v>554346.26</v>
      </c>
      <c r="T78" s="199"/>
      <c r="U78" s="200"/>
      <c r="V78" s="207"/>
      <c r="W78" s="207"/>
      <c r="X78" s="207"/>
      <c r="Y78" s="137" t="b">
        <f t="shared" si="13"/>
        <v>1</v>
      </c>
      <c r="Z78" s="179">
        <f t="shared" si="14"/>
        <v>0.6</v>
      </c>
      <c r="AA78" s="180" t="b">
        <f t="shared" si="15"/>
        <v>1</v>
      </c>
      <c r="AB78" s="140" t="b">
        <f t="shared" si="10"/>
        <v>1</v>
      </c>
    </row>
    <row r="79" spans="1:28" s="170" customFormat="1" ht="37.5" customHeight="1">
      <c r="A79" s="196">
        <v>77</v>
      </c>
      <c r="B79" s="185">
        <v>2</v>
      </c>
      <c r="C79" s="295" t="s">
        <v>73</v>
      </c>
      <c r="D79" s="185" t="s">
        <v>104</v>
      </c>
      <c r="E79" s="240">
        <v>2005011</v>
      </c>
      <c r="F79" s="185" t="s">
        <v>69</v>
      </c>
      <c r="G79" s="186" t="s">
        <v>203</v>
      </c>
      <c r="H79" s="185" t="s">
        <v>48</v>
      </c>
      <c r="I79" s="187">
        <v>0.23799999999999999</v>
      </c>
      <c r="J79" s="185" t="s">
        <v>290</v>
      </c>
      <c r="K79" s="271">
        <v>2464009.38</v>
      </c>
      <c r="L79" s="272">
        <f t="shared" si="11"/>
        <v>1478405.62</v>
      </c>
      <c r="M79" s="271">
        <f t="shared" si="12"/>
        <v>985603.75999999978</v>
      </c>
      <c r="N79" s="257">
        <v>0.6</v>
      </c>
      <c r="O79" s="199">
        <v>0</v>
      </c>
      <c r="P79" s="199">
        <v>0</v>
      </c>
      <c r="Q79" s="208">
        <v>0</v>
      </c>
      <c r="R79" s="199">
        <v>0</v>
      </c>
      <c r="S79" s="199">
        <f t="shared" si="16"/>
        <v>1478405.62</v>
      </c>
      <c r="T79" s="199"/>
      <c r="U79" s="200"/>
      <c r="V79" s="207"/>
      <c r="W79" s="207"/>
      <c r="X79" s="207"/>
      <c r="Y79" s="137" t="b">
        <f t="shared" si="13"/>
        <v>1</v>
      </c>
      <c r="Z79" s="179">
        <f t="shared" si="14"/>
        <v>0.6</v>
      </c>
      <c r="AA79" s="180" t="b">
        <f t="shared" si="15"/>
        <v>1</v>
      </c>
      <c r="AB79" s="140" t="b">
        <f t="shared" si="10"/>
        <v>1</v>
      </c>
    </row>
    <row r="80" spans="1:28" s="170" customFormat="1" ht="37.5" customHeight="1">
      <c r="A80" s="196">
        <v>78</v>
      </c>
      <c r="B80" s="185">
        <v>224</v>
      </c>
      <c r="C80" s="295" t="s">
        <v>73</v>
      </c>
      <c r="D80" s="185" t="s">
        <v>163</v>
      </c>
      <c r="E80" s="240">
        <v>2002063</v>
      </c>
      <c r="F80" s="185" t="s">
        <v>50</v>
      </c>
      <c r="G80" s="186" t="s">
        <v>375</v>
      </c>
      <c r="H80" s="196" t="s">
        <v>49</v>
      </c>
      <c r="I80" s="266">
        <v>0.23</v>
      </c>
      <c r="J80" s="185" t="s">
        <v>376</v>
      </c>
      <c r="K80" s="271">
        <v>933200</v>
      </c>
      <c r="L80" s="272">
        <f t="shared" si="11"/>
        <v>559920</v>
      </c>
      <c r="M80" s="271">
        <f t="shared" si="12"/>
        <v>373280</v>
      </c>
      <c r="N80" s="257">
        <v>0.6</v>
      </c>
      <c r="O80" s="199">
        <v>0</v>
      </c>
      <c r="P80" s="199">
        <v>0</v>
      </c>
      <c r="Q80" s="208">
        <v>0</v>
      </c>
      <c r="R80" s="199">
        <v>0</v>
      </c>
      <c r="S80" s="199">
        <f t="shared" si="16"/>
        <v>559920</v>
      </c>
      <c r="T80" s="199"/>
      <c r="U80" s="200"/>
      <c r="V80" s="207"/>
      <c r="W80" s="207"/>
      <c r="X80" s="207"/>
      <c r="Y80" s="137" t="b">
        <f t="shared" si="13"/>
        <v>1</v>
      </c>
      <c r="Z80" s="179">
        <f t="shared" si="14"/>
        <v>0.6</v>
      </c>
      <c r="AA80" s="180" t="b">
        <f t="shared" si="15"/>
        <v>1</v>
      </c>
      <c r="AB80" s="140" t="b">
        <f t="shared" si="10"/>
        <v>1</v>
      </c>
    </row>
    <row r="81" spans="1:28" s="170" customFormat="1" ht="37.5" customHeight="1">
      <c r="A81" s="196">
        <v>79</v>
      </c>
      <c r="B81" s="185">
        <v>108</v>
      </c>
      <c r="C81" s="295" t="s">
        <v>73</v>
      </c>
      <c r="D81" s="185" t="s">
        <v>96</v>
      </c>
      <c r="E81" s="240">
        <v>2010082</v>
      </c>
      <c r="F81" s="185" t="s">
        <v>59</v>
      </c>
      <c r="G81" s="186" t="s">
        <v>328</v>
      </c>
      <c r="H81" s="182" t="s">
        <v>49</v>
      </c>
      <c r="I81" s="187">
        <v>0.16</v>
      </c>
      <c r="J81" s="188" t="s">
        <v>267</v>
      </c>
      <c r="K81" s="271">
        <v>746010.5</v>
      </c>
      <c r="L81" s="272">
        <f t="shared" si="11"/>
        <v>447606.3</v>
      </c>
      <c r="M81" s="271">
        <f t="shared" si="12"/>
        <v>298404.2</v>
      </c>
      <c r="N81" s="257">
        <v>0.6</v>
      </c>
      <c r="O81" s="199">
        <v>0</v>
      </c>
      <c r="P81" s="199">
        <v>0</v>
      </c>
      <c r="Q81" s="208">
        <v>0</v>
      </c>
      <c r="R81" s="199">
        <v>0</v>
      </c>
      <c r="S81" s="199">
        <f t="shared" si="16"/>
        <v>447606.3</v>
      </c>
      <c r="T81" s="199"/>
      <c r="U81" s="200"/>
      <c r="V81" s="207"/>
      <c r="W81" s="207"/>
      <c r="X81" s="207"/>
      <c r="Y81" s="137" t="b">
        <f t="shared" si="13"/>
        <v>1</v>
      </c>
      <c r="Z81" s="179">
        <f t="shared" si="14"/>
        <v>0.6</v>
      </c>
      <c r="AA81" s="180" t="b">
        <f t="shared" si="15"/>
        <v>1</v>
      </c>
      <c r="AB81" s="140" t="b">
        <f t="shared" si="10"/>
        <v>1</v>
      </c>
    </row>
    <row r="82" spans="1:28" s="170" customFormat="1" ht="37.5" customHeight="1">
      <c r="A82" s="196">
        <v>80</v>
      </c>
      <c r="B82" s="185">
        <v>15</v>
      </c>
      <c r="C82" s="295" t="s">
        <v>73</v>
      </c>
      <c r="D82" s="185" t="s">
        <v>307</v>
      </c>
      <c r="E82" s="240">
        <v>2007082</v>
      </c>
      <c r="F82" s="185" t="s">
        <v>58</v>
      </c>
      <c r="G82" s="186" t="s">
        <v>310</v>
      </c>
      <c r="H82" s="185" t="s">
        <v>49</v>
      </c>
      <c r="I82" s="187">
        <v>0.15</v>
      </c>
      <c r="J82" s="185" t="s">
        <v>309</v>
      </c>
      <c r="K82" s="271">
        <v>382500</v>
      </c>
      <c r="L82" s="272">
        <f t="shared" si="11"/>
        <v>229500</v>
      </c>
      <c r="M82" s="271">
        <f t="shared" si="12"/>
        <v>153000</v>
      </c>
      <c r="N82" s="257">
        <v>0.6</v>
      </c>
      <c r="O82" s="199">
        <v>0</v>
      </c>
      <c r="P82" s="199">
        <v>0</v>
      </c>
      <c r="Q82" s="208">
        <v>0</v>
      </c>
      <c r="R82" s="199">
        <v>0</v>
      </c>
      <c r="S82" s="199">
        <f t="shared" si="16"/>
        <v>229500</v>
      </c>
      <c r="T82" s="199"/>
      <c r="U82" s="200"/>
      <c r="V82" s="207"/>
      <c r="W82" s="207"/>
      <c r="X82" s="207"/>
      <c r="Y82" s="137" t="b">
        <f t="shared" si="13"/>
        <v>1</v>
      </c>
      <c r="Z82" s="179">
        <f t="shared" si="14"/>
        <v>0.6</v>
      </c>
      <c r="AA82" s="180" t="b">
        <f t="shared" si="15"/>
        <v>1</v>
      </c>
      <c r="AB82" s="140" t="b">
        <f t="shared" si="10"/>
        <v>1</v>
      </c>
    </row>
    <row r="83" spans="1:28" s="170" customFormat="1" ht="37.5" customHeight="1">
      <c r="A83" s="196">
        <v>81</v>
      </c>
      <c r="B83" s="185">
        <v>277</v>
      </c>
      <c r="C83" s="295" t="s">
        <v>73</v>
      </c>
      <c r="D83" s="185" t="s">
        <v>161</v>
      </c>
      <c r="E83" s="240">
        <v>2013033</v>
      </c>
      <c r="F83" s="185" t="s">
        <v>55</v>
      </c>
      <c r="G83" s="186" t="s">
        <v>364</v>
      </c>
      <c r="H83" s="182" t="s">
        <v>48</v>
      </c>
      <c r="I83" s="187">
        <v>1.429</v>
      </c>
      <c r="J83" s="188" t="s">
        <v>365</v>
      </c>
      <c r="K83" s="271">
        <v>3537357.6</v>
      </c>
      <c r="L83" s="272">
        <f t="shared" si="11"/>
        <v>2122414.56</v>
      </c>
      <c r="M83" s="271">
        <f t="shared" si="12"/>
        <v>1414943.04</v>
      </c>
      <c r="N83" s="257">
        <v>0.6</v>
      </c>
      <c r="O83" s="199">
        <v>0</v>
      </c>
      <c r="P83" s="199">
        <v>0</v>
      </c>
      <c r="Q83" s="208">
        <v>0</v>
      </c>
      <c r="R83" s="199">
        <v>0</v>
      </c>
      <c r="S83" s="199">
        <f t="shared" si="16"/>
        <v>2122414.56</v>
      </c>
      <c r="T83" s="199"/>
      <c r="U83" s="200"/>
      <c r="V83" s="207"/>
      <c r="W83" s="207"/>
      <c r="X83" s="207"/>
      <c r="Y83" s="137" t="b">
        <f t="shared" si="13"/>
        <v>1</v>
      </c>
      <c r="Z83" s="179">
        <f t="shared" si="14"/>
        <v>0.6</v>
      </c>
      <c r="AA83" s="180" t="b">
        <f t="shared" si="15"/>
        <v>1</v>
      </c>
      <c r="AB83" s="140" t="b">
        <f t="shared" si="10"/>
        <v>1</v>
      </c>
    </row>
    <row r="84" spans="1:28" s="170" customFormat="1" ht="37.5" customHeight="1">
      <c r="A84" s="249">
        <v>82</v>
      </c>
      <c r="B84" s="243">
        <v>330</v>
      </c>
      <c r="C84" s="183" t="s">
        <v>61</v>
      </c>
      <c r="D84" s="243" t="s">
        <v>65</v>
      </c>
      <c r="E84" s="248">
        <v>2007022</v>
      </c>
      <c r="F84" s="243" t="s">
        <v>58</v>
      </c>
      <c r="G84" s="250" t="s">
        <v>369</v>
      </c>
      <c r="H84" s="246" t="s">
        <v>48</v>
      </c>
      <c r="I84" s="247">
        <v>0.90400000000000003</v>
      </c>
      <c r="J84" s="262" t="s">
        <v>274</v>
      </c>
      <c r="K84" s="269">
        <v>4213371.46</v>
      </c>
      <c r="L84" s="270">
        <f t="shared" si="11"/>
        <v>2528022.87</v>
      </c>
      <c r="M84" s="269">
        <f t="shared" si="12"/>
        <v>1685348.5899999999</v>
      </c>
      <c r="N84" s="256">
        <v>0.6</v>
      </c>
      <c r="O84" s="253">
        <v>0</v>
      </c>
      <c r="P84" s="253">
        <v>0</v>
      </c>
      <c r="Q84" s="254">
        <v>0</v>
      </c>
      <c r="R84" s="253">
        <v>0</v>
      </c>
      <c r="S84" s="253">
        <f>ROUNDDOWN(115334.21*N84,2)</f>
        <v>69200.52</v>
      </c>
      <c r="T84" s="253">
        <f>ROUNDDOWN(4098037.25*N84,2)</f>
        <v>2458822.35</v>
      </c>
      <c r="U84" s="200"/>
      <c r="V84" s="207"/>
      <c r="W84" s="207"/>
      <c r="X84" s="207"/>
      <c r="Y84" s="137" t="b">
        <f t="shared" si="13"/>
        <v>1</v>
      </c>
      <c r="Z84" s="179">
        <f t="shared" si="14"/>
        <v>0.6</v>
      </c>
      <c r="AA84" s="180" t="b">
        <f t="shared" si="15"/>
        <v>1</v>
      </c>
      <c r="AB84" s="140" t="b">
        <f t="shared" si="10"/>
        <v>1</v>
      </c>
    </row>
    <row r="85" spans="1:28" s="170" customFormat="1" ht="37.5" customHeight="1">
      <c r="A85" s="249">
        <v>83</v>
      </c>
      <c r="B85" s="243">
        <v>290</v>
      </c>
      <c r="C85" s="183" t="s">
        <v>61</v>
      </c>
      <c r="D85" s="243" t="s">
        <v>370</v>
      </c>
      <c r="E85" s="248">
        <v>2006022</v>
      </c>
      <c r="F85" s="243" t="s">
        <v>90</v>
      </c>
      <c r="G85" s="250" t="s">
        <v>371</v>
      </c>
      <c r="H85" s="246" t="s">
        <v>49</v>
      </c>
      <c r="I85" s="247">
        <v>0.73599999999999999</v>
      </c>
      <c r="J85" s="262" t="s">
        <v>372</v>
      </c>
      <c r="K85" s="269">
        <v>1180600</v>
      </c>
      <c r="L85" s="270">
        <f t="shared" si="11"/>
        <v>708360</v>
      </c>
      <c r="M85" s="269">
        <f t="shared" si="12"/>
        <v>472240</v>
      </c>
      <c r="N85" s="256">
        <v>0.6</v>
      </c>
      <c r="O85" s="253">
        <v>0</v>
      </c>
      <c r="P85" s="253">
        <v>0</v>
      </c>
      <c r="Q85" s="254">
        <v>0</v>
      </c>
      <c r="R85" s="253">
        <v>0</v>
      </c>
      <c r="S85" s="253">
        <f>3000*N85</f>
        <v>1800</v>
      </c>
      <c r="T85" s="253">
        <f>1177600*N85</f>
        <v>706560</v>
      </c>
      <c r="U85" s="200"/>
      <c r="V85" s="207"/>
      <c r="W85" s="207"/>
      <c r="X85" s="207"/>
      <c r="Y85" s="137" t="b">
        <f t="shared" si="13"/>
        <v>1</v>
      </c>
      <c r="Z85" s="179">
        <f t="shared" si="14"/>
        <v>0.6</v>
      </c>
      <c r="AA85" s="180" t="b">
        <f t="shared" si="15"/>
        <v>1</v>
      </c>
      <c r="AB85" s="140" t="b">
        <f t="shared" si="10"/>
        <v>1</v>
      </c>
    </row>
    <row r="86" spans="1:28" s="170" customFormat="1" ht="37.5" customHeight="1">
      <c r="A86" s="196">
        <v>84</v>
      </c>
      <c r="B86" s="185">
        <v>136</v>
      </c>
      <c r="C86" s="295" t="s">
        <v>73</v>
      </c>
      <c r="D86" s="185" t="s">
        <v>176</v>
      </c>
      <c r="E86" s="240">
        <v>2010023</v>
      </c>
      <c r="F86" s="185" t="s">
        <v>59</v>
      </c>
      <c r="G86" s="186" t="s">
        <v>362</v>
      </c>
      <c r="H86" s="182" t="s">
        <v>49</v>
      </c>
      <c r="I86" s="187">
        <v>0.7</v>
      </c>
      <c r="J86" s="188" t="s">
        <v>334</v>
      </c>
      <c r="K86" s="271">
        <v>1198789</v>
      </c>
      <c r="L86" s="272">
        <f t="shared" si="11"/>
        <v>719273.4</v>
      </c>
      <c r="M86" s="271">
        <f t="shared" si="12"/>
        <v>479515.6</v>
      </c>
      <c r="N86" s="257">
        <v>0.6</v>
      </c>
      <c r="O86" s="199">
        <v>0</v>
      </c>
      <c r="P86" s="199">
        <v>0</v>
      </c>
      <c r="Q86" s="208">
        <v>0</v>
      </c>
      <c r="R86" s="199">
        <v>0</v>
      </c>
      <c r="S86" s="199">
        <f>L86</f>
        <v>719273.4</v>
      </c>
      <c r="T86" s="199"/>
      <c r="U86" s="200"/>
      <c r="V86" s="207"/>
      <c r="W86" s="207"/>
      <c r="X86" s="207"/>
      <c r="Y86" s="137" t="b">
        <f t="shared" si="13"/>
        <v>1</v>
      </c>
      <c r="Z86" s="179">
        <f t="shared" si="14"/>
        <v>0.6</v>
      </c>
      <c r="AA86" s="180" t="b">
        <f t="shared" si="15"/>
        <v>1</v>
      </c>
      <c r="AB86" s="140" t="b">
        <f t="shared" si="10"/>
        <v>1</v>
      </c>
    </row>
    <row r="87" spans="1:28" s="170" customFormat="1" ht="38.25" customHeight="1">
      <c r="A87" s="196">
        <v>85</v>
      </c>
      <c r="B87" s="185">
        <v>317</v>
      </c>
      <c r="C87" s="295" t="s">
        <v>73</v>
      </c>
      <c r="D87" s="185" t="s">
        <v>423</v>
      </c>
      <c r="E87" s="240">
        <v>2001072</v>
      </c>
      <c r="F87" s="185" t="s">
        <v>95</v>
      </c>
      <c r="G87" s="186" t="s">
        <v>496</v>
      </c>
      <c r="H87" s="182" t="s">
        <v>49</v>
      </c>
      <c r="I87" s="187">
        <v>0.6</v>
      </c>
      <c r="J87" s="188" t="s">
        <v>425</v>
      </c>
      <c r="K87" s="271">
        <v>621500</v>
      </c>
      <c r="L87" s="272">
        <f t="shared" si="11"/>
        <v>497200</v>
      </c>
      <c r="M87" s="272">
        <f t="shared" si="12"/>
        <v>124300</v>
      </c>
      <c r="N87" s="257">
        <v>0.8</v>
      </c>
      <c r="O87" s="199">
        <v>0</v>
      </c>
      <c r="P87" s="199">
        <v>0</v>
      </c>
      <c r="Q87" s="208">
        <v>0</v>
      </c>
      <c r="R87" s="199">
        <v>0</v>
      </c>
      <c r="S87" s="199">
        <f>L87</f>
        <v>497200</v>
      </c>
      <c r="T87" s="199"/>
      <c r="U87" s="200"/>
      <c r="V87" s="207"/>
      <c r="W87" s="207"/>
      <c r="X87" s="207"/>
      <c r="Y87" s="137" t="b">
        <f t="shared" si="13"/>
        <v>1</v>
      </c>
      <c r="Z87" s="179">
        <f t="shared" si="14"/>
        <v>0.8</v>
      </c>
      <c r="AA87" s="180" t="b">
        <f t="shared" si="15"/>
        <v>1</v>
      </c>
      <c r="AB87" s="140" t="b">
        <f t="shared" si="10"/>
        <v>1</v>
      </c>
    </row>
    <row r="88" spans="1:28" s="170" customFormat="1" ht="37.5" customHeight="1">
      <c r="A88" s="196">
        <v>86</v>
      </c>
      <c r="B88" s="185">
        <v>44</v>
      </c>
      <c r="C88" s="295" t="s">
        <v>73</v>
      </c>
      <c r="D88" s="185" t="s">
        <v>471</v>
      </c>
      <c r="E88" s="240">
        <v>2062000</v>
      </c>
      <c r="F88" s="185" t="s">
        <v>58</v>
      </c>
      <c r="G88" s="186" t="s">
        <v>472</v>
      </c>
      <c r="H88" s="182" t="s">
        <v>49</v>
      </c>
      <c r="I88" s="187">
        <v>0.68300000000000005</v>
      </c>
      <c r="J88" s="185" t="s">
        <v>269</v>
      </c>
      <c r="K88" s="271">
        <v>4570448</v>
      </c>
      <c r="L88" s="272">
        <f t="shared" si="11"/>
        <v>2742268.8</v>
      </c>
      <c r="M88" s="271">
        <f t="shared" si="12"/>
        <v>1828179.2000000002</v>
      </c>
      <c r="N88" s="257">
        <v>0.6</v>
      </c>
      <c r="O88" s="199">
        <v>0</v>
      </c>
      <c r="P88" s="199">
        <v>0</v>
      </c>
      <c r="Q88" s="208">
        <v>0</v>
      </c>
      <c r="R88" s="199">
        <v>0</v>
      </c>
      <c r="S88" s="199">
        <f>L88</f>
        <v>2742268.8</v>
      </c>
      <c r="T88" s="199"/>
      <c r="U88" s="200"/>
      <c r="V88" s="207"/>
      <c r="W88" s="207"/>
      <c r="X88" s="207"/>
      <c r="Y88" s="137" t="b">
        <f t="shared" si="13"/>
        <v>1</v>
      </c>
      <c r="Z88" s="179">
        <f t="shared" si="14"/>
        <v>0.6</v>
      </c>
      <c r="AA88" s="180" t="b">
        <f t="shared" si="15"/>
        <v>1</v>
      </c>
      <c r="AB88" s="140" t="b">
        <f t="shared" si="10"/>
        <v>1</v>
      </c>
    </row>
    <row r="89" spans="1:28" s="170" customFormat="1" ht="37.5" customHeight="1">
      <c r="A89" s="196">
        <v>87</v>
      </c>
      <c r="B89" s="185">
        <v>189</v>
      </c>
      <c r="C89" s="295" t="s">
        <v>73</v>
      </c>
      <c r="D89" s="185" t="s">
        <v>201</v>
      </c>
      <c r="E89" s="240">
        <v>2007013</v>
      </c>
      <c r="F89" s="185" t="s">
        <v>58</v>
      </c>
      <c r="G89" s="186" t="s">
        <v>363</v>
      </c>
      <c r="H89" s="182" t="s">
        <v>49</v>
      </c>
      <c r="I89" s="187">
        <v>0.58599999999999997</v>
      </c>
      <c r="J89" s="188" t="s">
        <v>347</v>
      </c>
      <c r="K89" s="271">
        <v>972000</v>
      </c>
      <c r="L89" s="272">
        <f t="shared" si="11"/>
        <v>583200</v>
      </c>
      <c r="M89" s="271">
        <f t="shared" si="12"/>
        <v>388800</v>
      </c>
      <c r="N89" s="257">
        <v>0.6</v>
      </c>
      <c r="O89" s="199">
        <v>0</v>
      </c>
      <c r="P89" s="199">
        <v>0</v>
      </c>
      <c r="Q89" s="208">
        <v>0</v>
      </c>
      <c r="R89" s="199">
        <v>0</v>
      </c>
      <c r="S89" s="199">
        <f>L89</f>
        <v>583200</v>
      </c>
      <c r="T89" s="199"/>
      <c r="U89" s="200"/>
      <c r="V89" s="207"/>
      <c r="W89" s="207"/>
      <c r="X89" s="207"/>
      <c r="Y89" s="137" t="b">
        <f t="shared" si="13"/>
        <v>1</v>
      </c>
      <c r="Z89" s="179">
        <f t="shared" si="14"/>
        <v>0.6</v>
      </c>
      <c r="AA89" s="180" t="b">
        <f t="shared" si="15"/>
        <v>1</v>
      </c>
      <c r="AB89" s="140" t="b">
        <f t="shared" si="10"/>
        <v>1</v>
      </c>
    </row>
    <row r="90" spans="1:28" s="170" customFormat="1" ht="37.5" customHeight="1">
      <c r="A90" s="196">
        <v>88</v>
      </c>
      <c r="B90" s="185">
        <v>135</v>
      </c>
      <c r="C90" s="295" t="s">
        <v>73</v>
      </c>
      <c r="D90" s="185" t="s">
        <v>199</v>
      </c>
      <c r="E90" s="185">
        <v>2006032</v>
      </c>
      <c r="F90" s="185" t="s">
        <v>90</v>
      </c>
      <c r="G90" s="186" t="s">
        <v>361</v>
      </c>
      <c r="H90" s="182" t="s">
        <v>49</v>
      </c>
      <c r="I90" s="187">
        <v>0.501</v>
      </c>
      <c r="J90" s="188" t="s">
        <v>332</v>
      </c>
      <c r="K90" s="271">
        <v>526600</v>
      </c>
      <c r="L90" s="272">
        <f t="shared" si="11"/>
        <v>315960</v>
      </c>
      <c r="M90" s="271">
        <f t="shared" si="12"/>
        <v>210640</v>
      </c>
      <c r="N90" s="257">
        <v>0.6</v>
      </c>
      <c r="O90" s="199">
        <v>0</v>
      </c>
      <c r="P90" s="199">
        <v>0</v>
      </c>
      <c r="Q90" s="208">
        <v>0</v>
      </c>
      <c r="R90" s="199">
        <v>0</v>
      </c>
      <c r="S90" s="199">
        <f>L90</f>
        <v>315960</v>
      </c>
      <c r="T90" s="199"/>
      <c r="U90" s="200"/>
      <c r="V90" s="207"/>
      <c r="W90" s="207"/>
      <c r="X90" s="207"/>
      <c r="Y90" s="137" t="b">
        <f t="shared" si="13"/>
        <v>1</v>
      </c>
      <c r="Z90" s="179">
        <f t="shared" si="14"/>
        <v>0.6</v>
      </c>
      <c r="AA90" s="180" t="b">
        <f t="shared" si="15"/>
        <v>1</v>
      </c>
      <c r="AB90" s="140" t="b">
        <f t="shared" si="10"/>
        <v>1</v>
      </c>
    </row>
    <row r="91" spans="1:28" s="170" customFormat="1" ht="37.5" customHeight="1">
      <c r="A91" s="249">
        <v>89</v>
      </c>
      <c r="B91" s="243">
        <v>85</v>
      </c>
      <c r="C91" s="183" t="s">
        <v>61</v>
      </c>
      <c r="D91" s="243" t="s">
        <v>67</v>
      </c>
      <c r="E91" s="248">
        <v>2014032</v>
      </c>
      <c r="F91" s="243" t="s">
        <v>57</v>
      </c>
      <c r="G91" s="250" t="s">
        <v>474</v>
      </c>
      <c r="H91" s="246" t="s">
        <v>49</v>
      </c>
      <c r="I91" s="247">
        <v>0.441</v>
      </c>
      <c r="J91" s="243" t="s">
        <v>408</v>
      </c>
      <c r="K91" s="269">
        <v>961800</v>
      </c>
      <c r="L91" s="270">
        <f t="shared" si="11"/>
        <v>577080</v>
      </c>
      <c r="M91" s="269">
        <f t="shared" si="12"/>
        <v>384720</v>
      </c>
      <c r="N91" s="256">
        <v>0.6</v>
      </c>
      <c r="O91" s="253">
        <v>0</v>
      </c>
      <c r="P91" s="253">
        <v>0</v>
      </c>
      <c r="Q91" s="254">
        <v>0</v>
      </c>
      <c r="R91" s="253">
        <v>0</v>
      </c>
      <c r="S91" s="253">
        <f>61800*N91</f>
        <v>37080</v>
      </c>
      <c r="T91" s="253">
        <f>900000*N91</f>
        <v>540000</v>
      </c>
      <c r="U91" s="200"/>
      <c r="V91" s="207"/>
      <c r="W91" s="207"/>
      <c r="X91" s="207"/>
      <c r="Y91" s="137" t="b">
        <f t="shared" si="13"/>
        <v>1</v>
      </c>
      <c r="Z91" s="179">
        <f t="shared" si="14"/>
        <v>0.6</v>
      </c>
      <c r="AA91" s="180" t="b">
        <f t="shared" si="15"/>
        <v>1</v>
      </c>
      <c r="AB91" s="140" t="b">
        <f t="shared" si="10"/>
        <v>1</v>
      </c>
    </row>
    <row r="92" spans="1:28" s="170" customFormat="1" ht="37.5" customHeight="1">
      <c r="A92" s="249">
        <v>90</v>
      </c>
      <c r="B92" s="243">
        <v>97</v>
      </c>
      <c r="C92" s="183" t="s">
        <v>61</v>
      </c>
      <c r="D92" s="243" t="s">
        <v>196</v>
      </c>
      <c r="E92" s="248">
        <v>2006011</v>
      </c>
      <c r="F92" s="243" t="s">
        <v>90</v>
      </c>
      <c r="G92" s="250" t="s">
        <v>359</v>
      </c>
      <c r="H92" s="246" t="s">
        <v>49</v>
      </c>
      <c r="I92" s="247">
        <v>0.43</v>
      </c>
      <c r="J92" s="243" t="s">
        <v>358</v>
      </c>
      <c r="K92" s="269">
        <v>2737000</v>
      </c>
      <c r="L92" s="270">
        <f t="shared" si="11"/>
        <v>1642200</v>
      </c>
      <c r="M92" s="269">
        <f t="shared" si="12"/>
        <v>1094800</v>
      </c>
      <c r="N92" s="256">
        <v>0.6</v>
      </c>
      <c r="O92" s="253">
        <v>0</v>
      </c>
      <c r="P92" s="253">
        <v>0</v>
      </c>
      <c r="Q92" s="254">
        <v>0</v>
      </c>
      <c r="R92" s="253">
        <v>0</v>
      </c>
      <c r="S92" s="253">
        <f>1500000*N92</f>
        <v>900000</v>
      </c>
      <c r="T92" s="253">
        <f>1237000*N92</f>
        <v>742200</v>
      </c>
      <c r="U92" s="200"/>
      <c r="V92" s="207"/>
      <c r="W92" s="207"/>
      <c r="X92" s="207"/>
      <c r="Y92" s="137" t="b">
        <f t="shared" si="13"/>
        <v>1</v>
      </c>
      <c r="Z92" s="179">
        <f t="shared" si="14"/>
        <v>0.6</v>
      </c>
      <c r="AA92" s="180" t="b">
        <f t="shared" si="15"/>
        <v>1</v>
      </c>
      <c r="AB92" s="140" t="b">
        <f t="shared" si="10"/>
        <v>1</v>
      </c>
    </row>
    <row r="93" spans="1:28" s="170" customFormat="1" ht="37.5" customHeight="1">
      <c r="A93" s="196">
        <v>91</v>
      </c>
      <c r="B93" s="185">
        <v>3</v>
      </c>
      <c r="C93" s="295" t="s">
        <v>73</v>
      </c>
      <c r="D93" s="185" t="s">
        <v>467</v>
      </c>
      <c r="E93" s="240">
        <v>2013011</v>
      </c>
      <c r="F93" s="185" t="s">
        <v>55</v>
      </c>
      <c r="G93" s="186" t="s">
        <v>468</v>
      </c>
      <c r="H93" s="185" t="s">
        <v>49</v>
      </c>
      <c r="I93" s="187">
        <v>0.23</v>
      </c>
      <c r="J93" s="185" t="s">
        <v>376</v>
      </c>
      <c r="K93" s="271">
        <v>2409102.4900000002</v>
      </c>
      <c r="L93" s="272">
        <f t="shared" si="11"/>
        <v>1445461.49</v>
      </c>
      <c r="M93" s="271">
        <f t="shared" si="12"/>
        <v>963641.00000000023</v>
      </c>
      <c r="N93" s="257">
        <v>0.6</v>
      </c>
      <c r="O93" s="199">
        <v>0</v>
      </c>
      <c r="P93" s="199">
        <v>0</v>
      </c>
      <c r="Q93" s="208">
        <v>0</v>
      </c>
      <c r="R93" s="199">
        <v>0</v>
      </c>
      <c r="S93" s="199">
        <f>L93</f>
        <v>1445461.49</v>
      </c>
      <c r="T93" s="199"/>
      <c r="U93" s="200"/>
      <c r="V93" s="207"/>
      <c r="W93" s="207"/>
      <c r="X93" s="207"/>
      <c r="Y93" s="137" t="b">
        <f t="shared" si="13"/>
        <v>1</v>
      </c>
      <c r="Z93" s="179">
        <f t="shared" si="14"/>
        <v>0.6</v>
      </c>
      <c r="AA93" s="180" t="b">
        <f t="shared" si="15"/>
        <v>1</v>
      </c>
      <c r="AB93" s="140" t="b">
        <f t="shared" ref="AB93:AB105" si="17">K93=L93+M93</f>
        <v>1</v>
      </c>
    </row>
    <row r="94" spans="1:28" s="170" customFormat="1" ht="37.5" customHeight="1">
      <c r="A94" s="196">
        <v>92</v>
      </c>
      <c r="B94" s="185">
        <v>13</v>
      </c>
      <c r="C94" s="295" t="s">
        <v>73</v>
      </c>
      <c r="D94" s="196" t="s">
        <v>469</v>
      </c>
      <c r="E94" s="240">
        <v>2009042</v>
      </c>
      <c r="F94" s="196" t="s">
        <v>405</v>
      </c>
      <c r="G94" s="267" t="s">
        <v>470</v>
      </c>
      <c r="H94" s="196" t="s">
        <v>49</v>
      </c>
      <c r="I94" s="266">
        <v>0.26</v>
      </c>
      <c r="J94" s="185" t="s">
        <v>267</v>
      </c>
      <c r="K94" s="272">
        <v>503224.19</v>
      </c>
      <c r="L94" s="272">
        <f t="shared" si="11"/>
        <v>301934.51</v>
      </c>
      <c r="M94" s="271">
        <f t="shared" si="12"/>
        <v>201289.68</v>
      </c>
      <c r="N94" s="257">
        <v>0.6</v>
      </c>
      <c r="O94" s="199">
        <v>0</v>
      </c>
      <c r="P94" s="199">
        <v>0</v>
      </c>
      <c r="Q94" s="208">
        <v>0</v>
      </c>
      <c r="R94" s="199">
        <v>0</v>
      </c>
      <c r="S94" s="199">
        <f>L94</f>
        <v>301934.51</v>
      </c>
      <c r="T94" s="199"/>
      <c r="U94" s="200"/>
      <c r="V94" s="207"/>
      <c r="W94" s="207"/>
      <c r="X94" s="207"/>
      <c r="Y94" s="137" t="b">
        <f t="shared" si="13"/>
        <v>1</v>
      </c>
      <c r="Z94" s="179">
        <f t="shared" si="14"/>
        <v>0.6</v>
      </c>
      <c r="AA94" s="180" t="b">
        <f t="shared" si="15"/>
        <v>1</v>
      </c>
      <c r="AB94" s="140" t="b">
        <f t="shared" si="17"/>
        <v>1</v>
      </c>
    </row>
    <row r="95" spans="1:28" s="170" customFormat="1" ht="37.5" customHeight="1">
      <c r="A95" s="196">
        <v>93</v>
      </c>
      <c r="B95" s="185">
        <v>77</v>
      </c>
      <c r="C95" s="295" t="s">
        <v>73</v>
      </c>
      <c r="D95" s="185" t="s">
        <v>198</v>
      </c>
      <c r="E95" s="240">
        <v>2006042</v>
      </c>
      <c r="F95" s="185" t="s">
        <v>90</v>
      </c>
      <c r="G95" s="186" t="s">
        <v>473</v>
      </c>
      <c r="H95" s="182" t="s">
        <v>49</v>
      </c>
      <c r="I95" s="187">
        <v>0.15</v>
      </c>
      <c r="J95" s="185" t="s">
        <v>324</v>
      </c>
      <c r="K95" s="271">
        <v>141927</v>
      </c>
      <c r="L95" s="272">
        <f t="shared" si="11"/>
        <v>85156.2</v>
      </c>
      <c r="M95" s="271">
        <f t="shared" si="12"/>
        <v>56770.8</v>
      </c>
      <c r="N95" s="257">
        <v>0.6</v>
      </c>
      <c r="O95" s="199">
        <v>0</v>
      </c>
      <c r="P95" s="199">
        <v>0</v>
      </c>
      <c r="Q95" s="208">
        <v>0</v>
      </c>
      <c r="R95" s="199">
        <v>0</v>
      </c>
      <c r="S95" s="199">
        <f>L95</f>
        <v>85156.2</v>
      </c>
      <c r="T95" s="199"/>
      <c r="U95" s="200"/>
      <c r="V95" s="207"/>
      <c r="W95" s="207"/>
      <c r="X95" s="207"/>
      <c r="Y95" s="137" t="b">
        <f t="shared" si="13"/>
        <v>1</v>
      </c>
      <c r="Z95" s="179">
        <f t="shared" si="14"/>
        <v>0.6</v>
      </c>
      <c r="AA95" s="180" t="b">
        <f t="shared" si="15"/>
        <v>1</v>
      </c>
      <c r="AB95" s="140" t="b">
        <f t="shared" si="17"/>
        <v>1</v>
      </c>
    </row>
    <row r="96" spans="1:28" s="170" customFormat="1" ht="38.25" customHeight="1">
      <c r="A96" s="196">
        <v>94</v>
      </c>
      <c r="B96" s="185">
        <v>206</v>
      </c>
      <c r="C96" s="295" t="s">
        <v>73</v>
      </c>
      <c r="D96" s="185" t="s">
        <v>380</v>
      </c>
      <c r="E96" s="240">
        <v>2002133</v>
      </c>
      <c r="F96" s="185" t="s">
        <v>50</v>
      </c>
      <c r="G96" s="186" t="s">
        <v>488</v>
      </c>
      <c r="H96" s="182" t="s">
        <v>48</v>
      </c>
      <c r="I96" s="187">
        <v>0.09</v>
      </c>
      <c r="J96" s="188" t="s">
        <v>489</v>
      </c>
      <c r="K96" s="271">
        <v>141000</v>
      </c>
      <c r="L96" s="272">
        <f t="shared" si="11"/>
        <v>112800</v>
      </c>
      <c r="M96" s="272">
        <f t="shared" si="12"/>
        <v>28200</v>
      </c>
      <c r="N96" s="257">
        <v>0.8</v>
      </c>
      <c r="O96" s="199">
        <v>0</v>
      </c>
      <c r="P96" s="199">
        <v>0</v>
      </c>
      <c r="Q96" s="208">
        <v>0</v>
      </c>
      <c r="R96" s="199">
        <v>0</v>
      </c>
      <c r="S96" s="199">
        <f>L96</f>
        <v>112800</v>
      </c>
      <c r="T96" s="199"/>
      <c r="U96" s="200"/>
      <c r="V96" s="207"/>
      <c r="W96" s="207"/>
      <c r="X96" s="207"/>
      <c r="Y96" s="137" t="b">
        <f t="shared" si="13"/>
        <v>1</v>
      </c>
      <c r="Z96" s="179">
        <f t="shared" si="14"/>
        <v>0.8</v>
      </c>
      <c r="AA96" s="180" t="b">
        <f t="shared" si="15"/>
        <v>1</v>
      </c>
      <c r="AB96" s="140" t="b">
        <f t="shared" si="17"/>
        <v>1</v>
      </c>
    </row>
    <row r="97" spans="1:28" ht="25.5">
      <c r="A97" s="249">
        <v>95</v>
      </c>
      <c r="B97" s="243">
        <v>288</v>
      </c>
      <c r="C97" s="183" t="s">
        <v>61</v>
      </c>
      <c r="D97" s="243" t="s">
        <v>370</v>
      </c>
      <c r="E97" s="248">
        <v>2006022</v>
      </c>
      <c r="F97" s="243" t="s">
        <v>90</v>
      </c>
      <c r="G97" s="250" t="s">
        <v>497</v>
      </c>
      <c r="H97" s="246" t="s">
        <v>49</v>
      </c>
      <c r="I97" s="247">
        <v>0.25900000000000001</v>
      </c>
      <c r="J97" s="262" t="s">
        <v>374</v>
      </c>
      <c r="K97" s="269">
        <v>426427.5</v>
      </c>
      <c r="L97" s="270">
        <f>ROUNDDOWN(K97*N97,2)</f>
        <v>255856.5</v>
      </c>
      <c r="M97" s="270">
        <f>K97-L97</f>
        <v>170571</v>
      </c>
      <c r="N97" s="256">
        <v>0.6</v>
      </c>
      <c r="O97" s="253">
        <v>0</v>
      </c>
      <c r="P97" s="253">
        <v>0</v>
      </c>
      <c r="Q97" s="254">
        <v>0</v>
      </c>
      <c r="R97" s="253">
        <v>0</v>
      </c>
      <c r="S97" s="253">
        <f>3000*N97</f>
        <v>1800</v>
      </c>
      <c r="T97" s="253">
        <f>423427.5*N97</f>
        <v>254056.5</v>
      </c>
      <c r="U97" s="260"/>
      <c r="V97" s="273"/>
      <c r="W97" s="273"/>
      <c r="X97" s="273"/>
      <c r="Y97" s="137" t="b">
        <f t="shared" si="13"/>
        <v>1</v>
      </c>
      <c r="Z97" s="179">
        <f t="shared" si="14"/>
        <v>0.6</v>
      </c>
      <c r="AA97" s="180" t="b">
        <f t="shared" si="15"/>
        <v>1</v>
      </c>
      <c r="AB97" s="140" t="b">
        <f t="shared" si="17"/>
        <v>1</v>
      </c>
    </row>
    <row r="98" spans="1:28" s="170" customFormat="1" ht="38.25" customHeight="1">
      <c r="A98" s="275">
        <v>96</v>
      </c>
      <c r="B98" s="185">
        <v>308</v>
      </c>
      <c r="C98" s="295" t="s">
        <v>73</v>
      </c>
      <c r="D98" s="185" t="s">
        <v>192</v>
      </c>
      <c r="E98" s="240">
        <v>2013023</v>
      </c>
      <c r="F98" s="185" t="s">
        <v>55</v>
      </c>
      <c r="G98" s="186" t="s">
        <v>498</v>
      </c>
      <c r="H98" s="182" t="s">
        <v>49</v>
      </c>
      <c r="I98" s="187">
        <v>0.40699999999999997</v>
      </c>
      <c r="J98" s="188" t="s">
        <v>279</v>
      </c>
      <c r="K98" s="271">
        <v>789535</v>
      </c>
      <c r="L98" s="272">
        <f>ROUNDDOWN(K98*N98,2)</f>
        <v>473721</v>
      </c>
      <c r="M98" s="272">
        <f>K98-L98</f>
        <v>315814</v>
      </c>
      <c r="N98" s="257">
        <v>0.6</v>
      </c>
      <c r="O98" s="199">
        <v>0</v>
      </c>
      <c r="P98" s="199">
        <v>0</v>
      </c>
      <c r="Q98" s="208">
        <v>0</v>
      </c>
      <c r="R98" s="199">
        <v>0</v>
      </c>
      <c r="S98" s="199">
        <f>L98</f>
        <v>473721</v>
      </c>
      <c r="T98" s="199"/>
      <c r="U98" s="200"/>
      <c r="V98" s="207"/>
      <c r="W98" s="207"/>
      <c r="X98" s="207"/>
      <c r="Y98" s="137" t="b">
        <f t="shared" si="13"/>
        <v>1</v>
      </c>
      <c r="Z98" s="179">
        <f t="shared" si="14"/>
        <v>0.6</v>
      </c>
      <c r="AA98" s="180" t="b">
        <f t="shared" si="15"/>
        <v>1</v>
      </c>
      <c r="AB98" s="140" t="b">
        <f t="shared" si="17"/>
        <v>1</v>
      </c>
    </row>
    <row r="99" spans="1:28" s="170" customFormat="1" ht="38.25" customHeight="1">
      <c r="A99" s="275">
        <v>97</v>
      </c>
      <c r="B99" s="185">
        <v>109</v>
      </c>
      <c r="C99" s="295" t="s">
        <v>73</v>
      </c>
      <c r="D99" s="185" t="s">
        <v>96</v>
      </c>
      <c r="E99" s="240">
        <v>2010082</v>
      </c>
      <c r="F99" s="185" t="s">
        <v>59</v>
      </c>
      <c r="G99" s="186" t="s">
        <v>360</v>
      </c>
      <c r="H99" s="182" t="s">
        <v>49</v>
      </c>
      <c r="I99" s="187">
        <v>0.60899999999999999</v>
      </c>
      <c r="J99" s="188" t="s">
        <v>324</v>
      </c>
      <c r="K99" s="271">
        <v>1218989.48</v>
      </c>
      <c r="L99" s="272">
        <f>ROUNDDOWN(K99*N99,2)</f>
        <v>731393.68</v>
      </c>
      <c r="M99" s="271">
        <f>K99-L99</f>
        <v>487595.79999999993</v>
      </c>
      <c r="N99" s="257">
        <v>0.6</v>
      </c>
      <c r="O99" s="199">
        <v>0</v>
      </c>
      <c r="P99" s="199">
        <v>0</v>
      </c>
      <c r="Q99" s="208">
        <v>0</v>
      </c>
      <c r="R99" s="199">
        <v>0</v>
      </c>
      <c r="S99" s="199">
        <f>L99</f>
        <v>731393.68</v>
      </c>
      <c r="T99" s="199"/>
      <c r="U99" s="200"/>
      <c r="V99" s="207"/>
      <c r="W99" s="207"/>
      <c r="X99" s="207"/>
      <c r="Y99" s="137" t="b">
        <f t="shared" si="13"/>
        <v>1</v>
      </c>
      <c r="Z99" s="179">
        <f t="shared" si="14"/>
        <v>0.6</v>
      </c>
      <c r="AA99" s="180" t="b">
        <f t="shared" si="15"/>
        <v>1</v>
      </c>
      <c r="AB99" s="140" t="b">
        <f t="shared" si="17"/>
        <v>1</v>
      </c>
    </row>
    <row r="100" spans="1:28" s="170" customFormat="1" ht="38.25" customHeight="1">
      <c r="A100" s="243">
        <v>98</v>
      </c>
      <c r="B100" s="243">
        <v>334</v>
      </c>
      <c r="C100" s="243" t="s">
        <v>61</v>
      </c>
      <c r="D100" s="243" t="s">
        <v>431</v>
      </c>
      <c r="E100" s="248">
        <v>2002023</v>
      </c>
      <c r="F100" s="243" t="s">
        <v>50</v>
      </c>
      <c r="G100" s="250" t="s">
        <v>432</v>
      </c>
      <c r="H100" s="246" t="s">
        <v>49</v>
      </c>
      <c r="I100" s="247">
        <v>3.34</v>
      </c>
      <c r="J100" s="262" t="s">
        <v>433</v>
      </c>
      <c r="K100" s="269">
        <v>7012000</v>
      </c>
      <c r="L100" s="270">
        <f>ROUNDDOWN(K100*N100,2)</f>
        <v>4207200</v>
      </c>
      <c r="M100" s="269">
        <f>K100-L100</f>
        <v>2804800</v>
      </c>
      <c r="N100" s="256">
        <v>0.6</v>
      </c>
      <c r="O100" s="253">
        <v>0</v>
      </c>
      <c r="P100" s="253">
        <v>0</v>
      </c>
      <c r="Q100" s="254">
        <v>0</v>
      </c>
      <c r="R100" s="263">
        <v>0</v>
      </c>
      <c r="S100" s="253">
        <f>3000000*N100</f>
        <v>1800000</v>
      </c>
      <c r="T100" s="253">
        <f>4012000*N100</f>
        <v>2407200</v>
      </c>
      <c r="U100" s="200"/>
      <c r="V100" s="207"/>
      <c r="W100" s="207"/>
      <c r="X100" s="207"/>
      <c r="Y100" s="137" t="b">
        <f t="shared" si="13"/>
        <v>1</v>
      </c>
      <c r="Z100" s="179">
        <f t="shared" si="14"/>
        <v>0.6</v>
      </c>
      <c r="AA100" s="180" t="b">
        <f t="shared" si="15"/>
        <v>1</v>
      </c>
      <c r="AB100" s="140" t="b">
        <f t="shared" si="17"/>
        <v>1</v>
      </c>
    </row>
    <row r="101" spans="1:28" s="170" customFormat="1" ht="38.25" customHeight="1">
      <c r="A101" s="185">
        <v>99</v>
      </c>
      <c r="B101" s="185">
        <v>71</v>
      </c>
      <c r="C101" s="185" t="s">
        <v>73</v>
      </c>
      <c r="D101" s="185" t="s">
        <v>554</v>
      </c>
      <c r="E101" s="242">
        <v>2011062</v>
      </c>
      <c r="F101" s="233" t="s">
        <v>51</v>
      </c>
      <c r="G101" s="229" t="s">
        <v>555</v>
      </c>
      <c r="H101" s="182" t="s">
        <v>49</v>
      </c>
      <c r="I101" s="187">
        <v>2.66</v>
      </c>
      <c r="J101" s="232" t="s">
        <v>330</v>
      </c>
      <c r="K101" s="271">
        <v>5079365</v>
      </c>
      <c r="L101" s="272">
        <f>ROUNDDOWN(K101*N101,2)</f>
        <v>3047619</v>
      </c>
      <c r="M101" s="271">
        <f>K101-L101</f>
        <v>2031746</v>
      </c>
      <c r="N101" s="257">
        <v>0.6</v>
      </c>
      <c r="O101" s="199">
        <v>0</v>
      </c>
      <c r="P101" s="199">
        <v>0</v>
      </c>
      <c r="Q101" s="208">
        <v>0</v>
      </c>
      <c r="R101" s="199">
        <v>0</v>
      </c>
      <c r="S101" s="199">
        <f>L101</f>
        <v>3047619</v>
      </c>
      <c r="T101" s="199"/>
      <c r="U101" s="200"/>
      <c r="V101" s="207"/>
      <c r="W101" s="207"/>
      <c r="X101" s="207"/>
      <c r="Y101" s="137" t="b">
        <f t="shared" ref="Y101:Y104" si="18">L101=SUM(O101:X101)</f>
        <v>1</v>
      </c>
      <c r="Z101" s="179">
        <f t="shared" ref="Z101:Z104" si="19">ROUND(L101/K101,4)</f>
        <v>0.6</v>
      </c>
      <c r="AA101" s="180" t="b">
        <f t="shared" ref="AA101:AA104" si="20">Z101=N101</f>
        <v>1</v>
      </c>
      <c r="AB101" s="140" t="b">
        <f t="shared" ref="AB101:AB104" si="21">K101=L101+M101</f>
        <v>1</v>
      </c>
    </row>
    <row r="102" spans="1:28" s="170" customFormat="1" ht="38.25" customHeight="1">
      <c r="A102" s="185">
        <v>100</v>
      </c>
      <c r="B102" s="185">
        <v>282</v>
      </c>
      <c r="C102" s="185" t="s">
        <v>73</v>
      </c>
      <c r="D102" s="185" t="s">
        <v>421</v>
      </c>
      <c r="E102" s="242">
        <v>2011013</v>
      </c>
      <c r="F102" s="185" t="s">
        <v>51</v>
      </c>
      <c r="G102" s="186" t="s">
        <v>422</v>
      </c>
      <c r="H102" s="182" t="s">
        <v>49</v>
      </c>
      <c r="I102" s="187">
        <v>1.4910000000000001</v>
      </c>
      <c r="J102" s="188" t="s">
        <v>290</v>
      </c>
      <c r="K102" s="271">
        <v>1788250</v>
      </c>
      <c r="L102" s="272">
        <f t="shared" ref="L102:L104" si="22">ROUNDDOWN(K102*N102,2)</f>
        <v>1072950</v>
      </c>
      <c r="M102" s="271">
        <f t="shared" ref="M102:M104" si="23">K102-L102</f>
        <v>715300</v>
      </c>
      <c r="N102" s="258">
        <v>0.6</v>
      </c>
      <c r="O102" s="199">
        <v>0</v>
      </c>
      <c r="P102" s="199">
        <v>0</v>
      </c>
      <c r="Q102" s="208">
        <v>0</v>
      </c>
      <c r="R102" s="162">
        <v>0</v>
      </c>
      <c r="S102" s="199">
        <f>L102</f>
        <v>1072950</v>
      </c>
      <c r="T102" s="199"/>
      <c r="U102" s="200"/>
      <c r="V102" s="260"/>
      <c r="W102" s="260"/>
      <c r="X102" s="260"/>
      <c r="Y102" s="137" t="b">
        <f t="shared" si="18"/>
        <v>1</v>
      </c>
      <c r="Z102" s="179">
        <f t="shared" si="19"/>
        <v>0.6</v>
      </c>
      <c r="AA102" s="180" t="b">
        <f t="shared" si="20"/>
        <v>1</v>
      </c>
      <c r="AB102" s="140" t="b">
        <f t="shared" si="21"/>
        <v>1</v>
      </c>
    </row>
    <row r="103" spans="1:28" s="312" customFormat="1" ht="38.25" customHeight="1">
      <c r="A103" s="185">
        <v>101</v>
      </c>
      <c r="B103" s="185"/>
      <c r="C103" s="185" t="s">
        <v>73</v>
      </c>
      <c r="D103" s="185" t="s">
        <v>563</v>
      </c>
      <c r="E103" s="240">
        <v>2009042</v>
      </c>
      <c r="F103" s="196" t="s">
        <v>405</v>
      </c>
      <c r="G103" s="186" t="s">
        <v>568</v>
      </c>
      <c r="H103" s="182" t="s">
        <v>48</v>
      </c>
      <c r="I103" s="187"/>
      <c r="J103" s="322">
        <v>2023</v>
      </c>
      <c r="K103" s="271">
        <v>901200</v>
      </c>
      <c r="L103" s="271">
        <f>ROUNDDOWN(K103*N103,2)</f>
        <v>540720</v>
      </c>
      <c r="M103" s="271">
        <f t="shared" si="23"/>
        <v>360480</v>
      </c>
      <c r="N103" s="258">
        <v>0.6</v>
      </c>
      <c r="O103" s="199">
        <v>0</v>
      </c>
      <c r="P103" s="199">
        <v>0</v>
      </c>
      <c r="Q103" s="208">
        <v>0</v>
      </c>
      <c r="R103" s="162">
        <v>0</v>
      </c>
      <c r="S103" s="199">
        <v>540720</v>
      </c>
      <c r="T103" s="199"/>
      <c r="U103" s="200"/>
      <c r="V103" s="260"/>
      <c r="W103" s="260"/>
      <c r="X103" s="260"/>
      <c r="Y103" s="137" t="b">
        <f t="shared" si="18"/>
        <v>1</v>
      </c>
      <c r="Z103" s="179">
        <f t="shared" si="19"/>
        <v>0.6</v>
      </c>
      <c r="AA103" s="180" t="b">
        <f t="shared" si="20"/>
        <v>1</v>
      </c>
      <c r="AB103" s="140" t="b">
        <f t="shared" si="21"/>
        <v>1</v>
      </c>
    </row>
    <row r="104" spans="1:28" s="312" customFormat="1" ht="38.25" customHeight="1">
      <c r="A104" s="185">
        <v>102</v>
      </c>
      <c r="B104" s="185"/>
      <c r="C104" s="185" t="s">
        <v>73</v>
      </c>
      <c r="D104" s="185" t="s">
        <v>563</v>
      </c>
      <c r="E104" s="240">
        <v>2009042</v>
      </c>
      <c r="F104" s="196" t="s">
        <v>405</v>
      </c>
      <c r="G104" s="186" t="s">
        <v>564</v>
      </c>
      <c r="H104" s="182" t="s">
        <v>49</v>
      </c>
      <c r="I104" s="187"/>
      <c r="J104" s="322">
        <v>2023</v>
      </c>
      <c r="K104" s="271">
        <v>541200</v>
      </c>
      <c r="L104" s="271">
        <f t="shared" si="22"/>
        <v>324720</v>
      </c>
      <c r="M104" s="271">
        <f t="shared" si="23"/>
        <v>216480</v>
      </c>
      <c r="N104" s="258">
        <v>0.6</v>
      </c>
      <c r="O104" s="199">
        <v>0</v>
      </c>
      <c r="P104" s="199">
        <v>0</v>
      </c>
      <c r="Q104" s="208">
        <v>0</v>
      </c>
      <c r="R104" s="162">
        <v>0</v>
      </c>
      <c r="S104" s="199">
        <v>324720</v>
      </c>
      <c r="T104" s="199"/>
      <c r="U104" s="200"/>
      <c r="V104" s="260"/>
      <c r="W104" s="260"/>
      <c r="X104" s="260"/>
      <c r="Y104" s="137" t="b">
        <f t="shared" si="18"/>
        <v>1</v>
      </c>
      <c r="Z104" s="179">
        <f t="shared" si="19"/>
        <v>0.6</v>
      </c>
      <c r="AA104" s="180" t="b">
        <f t="shared" si="20"/>
        <v>1</v>
      </c>
      <c r="AB104" s="140" t="b">
        <f t="shared" si="21"/>
        <v>1</v>
      </c>
    </row>
    <row r="105" spans="1:28" s="170" customFormat="1" ht="38.25" customHeight="1">
      <c r="A105" s="318" t="s">
        <v>567</v>
      </c>
      <c r="B105" s="243">
        <v>94</v>
      </c>
      <c r="C105" s="243" t="s">
        <v>61</v>
      </c>
      <c r="D105" s="243" t="s">
        <v>191</v>
      </c>
      <c r="E105" s="248">
        <v>2013102</v>
      </c>
      <c r="F105" s="243" t="s">
        <v>55</v>
      </c>
      <c r="G105" s="250" t="s">
        <v>384</v>
      </c>
      <c r="H105" s="246" t="s">
        <v>48</v>
      </c>
      <c r="I105" s="247">
        <v>2.0099999999999998</v>
      </c>
      <c r="J105" s="243" t="s">
        <v>383</v>
      </c>
      <c r="K105" s="269">
        <v>5102310</v>
      </c>
      <c r="L105" s="270">
        <f>ROUNDDOWN(K105*N105,2)-819746.82</f>
        <v>2241639.1800000002</v>
      </c>
      <c r="M105" s="269">
        <f>K105-L105</f>
        <v>2860670.82</v>
      </c>
      <c r="N105" s="256">
        <v>0.6</v>
      </c>
      <c r="O105" s="253">
        <v>0</v>
      </c>
      <c r="P105" s="253">
        <v>0</v>
      </c>
      <c r="Q105" s="254">
        <v>0</v>
      </c>
      <c r="R105" s="263">
        <v>0</v>
      </c>
      <c r="S105" s="253">
        <f>(2551155*N105)-819746.82</f>
        <v>710946.18</v>
      </c>
      <c r="T105" s="253">
        <f>2551155*N105</f>
        <v>1530693</v>
      </c>
      <c r="U105" s="200"/>
      <c r="V105" s="207"/>
      <c r="W105" s="207"/>
      <c r="X105" s="207"/>
      <c r="Y105" s="137" t="b">
        <f t="shared" si="13"/>
        <v>1</v>
      </c>
      <c r="Z105" s="179">
        <f t="shared" si="14"/>
        <v>0.43930000000000002</v>
      </c>
      <c r="AA105" s="180" t="b">
        <f t="shared" si="15"/>
        <v>0</v>
      </c>
      <c r="AB105" s="140" t="b">
        <f t="shared" si="17"/>
        <v>1</v>
      </c>
    </row>
    <row r="106" spans="1:28" ht="20.100000000000001" customHeight="1">
      <c r="A106" s="363" t="s">
        <v>43</v>
      </c>
      <c r="B106" s="364"/>
      <c r="C106" s="364"/>
      <c r="D106" s="364"/>
      <c r="E106" s="364"/>
      <c r="F106" s="364"/>
      <c r="G106" s="364"/>
      <c r="H106" s="365"/>
      <c r="I106" s="175">
        <f>SUM(I3:I105)</f>
        <v>103.80838000000004</v>
      </c>
      <c r="J106" s="176" t="s">
        <v>14</v>
      </c>
      <c r="K106" s="174">
        <f>SUM(K3:K105)</f>
        <v>267859008.43999997</v>
      </c>
      <c r="L106" s="174">
        <f>SUM(L3:L105)</f>
        <v>150713421.84</v>
      </c>
      <c r="M106" s="174">
        <f>SUM(M3:M105)</f>
        <v>117145586.60000004</v>
      </c>
      <c r="N106" s="177" t="s">
        <v>14</v>
      </c>
      <c r="O106" s="174">
        <f t="shared" ref="O106:X106" si="24">SUM(O3:O105)</f>
        <v>0</v>
      </c>
      <c r="P106" s="174">
        <f t="shared" si="24"/>
        <v>553908.98</v>
      </c>
      <c r="Q106" s="174">
        <f t="shared" si="24"/>
        <v>5130195.4100000011</v>
      </c>
      <c r="R106" s="174">
        <f>SUM(R3:R105)</f>
        <v>21967948.655000001</v>
      </c>
      <c r="S106" s="174">
        <f>SUM(S3:S105)</f>
        <v>96712940.945000023</v>
      </c>
      <c r="T106" s="174">
        <f t="shared" si="24"/>
        <v>24484068.98</v>
      </c>
      <c r="U106" s="174">
        <f t="shared" si="24"/>
        <v>1864358.87</v>
      </c>
      <c r="V106" s="174">
        <f t="shared" si="24"/>
        <v>0</v>
      </c>
      <c r="W106" s="174">
        <f t="shared" si="24"/>
        <v>0</v>
      </c>
      <c r="X106" s="174">
        <f t="shared" si="24"/>
        <v>0</v>
      </c>
      <c r="Y106" s="137" t="b">
        <f t="shared" si="13"/>
        <v>1</v>
      </c>
      <c r="Z106" s="179">
        <f>ROUND(L106/K106,4)</f>
        <v>0.56269999999999998</v>
      </c>
      <c r="AA106" s="180" t="s">
        <v>14</v>
      </c>
      <c r="AB106" s="180" t="b">
        <f>K107=L107+M107</f>
        <v>1</v>
      </c>
    </row>
    <row r="107" spans="1:28" ht="20.100000000000001" customHeight="1">
      <c r="A107" s="359" t="s">
        <v>37</v>
      </c>
      <c r="B107" s="360"/>
      <c r="C107" s="360"/>
      <c r="D107" s="360"/>
      <c r="E107" s="360"/>
      <c r="F107" s="360"/>
      <c r="G107" s="360"/>
      <c r="H107" s="361"/>
      <c r="I107" s="132">
        <f>SUMIF($C$3:$C$105,"K",I3:I105)</f>
        <v>39.82838000000001</v>
      </c>
      <c r="J107" s="133" t="s">
        <v>14</v>
      </c>
      <c r="K107" s="33">
        <f>SUMIF($C$3:$C$105,"K",K3:K105)</f>
        <v>118808639.48</v>
      </c>
      <c r="L107" s="33">
        <f>SUMIF($C$3:$C$105,"K",L3:L105)</f>
        <v>61232111.359999992</v>
      </c>
      <c r="M107" s="33">
        <f>SUMIF($C$3:$C$105,"K",M3:M105)</f>
        <v>57576528.119999997</v>
      </c>
      <c r="N107" s="134" t="s">
        <v>14</v>
      </c>
      <c r="O107" s="33">
        <f t="shared" ref="O107:X107" si="25">SUMIF($C$3:$C$105,"K",O3:O105)</f>
        <v>0</v>
      </c>
      <c r="P107" s="33">
        <f t="shared" si="25"/>
        <v>553908.98</v>
      </c>
      <c r="Q107" s="33">
        <f t="shared" si="25"/>
        <v>5130195.4100000011</v>
      </c>
      <c r="R107" s="33">
        <f t="shared" si="25"/>
        <v>21967948.655000001</v>
      </c>
      <c r="S107" s="33">
        <f t="shared" si="25"/>
        <v>31252219.835000001</v>
      </c>
      <c r="T107" s="33">
        <f t="shared" si="25"/>
        <v>2327838.48</v>
      </c>
      <c r="U107" s="33">
        <f t="shared" si="25"/>
        <v>0</v>
      </c>
      <c r="V107" s="33">
        <f t="shared" si="25"/>
        <v>0</v>
      </c>
      <c r="W107" s="33">
        <f t="shared" si="25"/>
        <v>0</v>
      </c>
      <c r="X107" s="33">
        <f t="shared" si="25"/>
        <v>0</v>
      </c>
      <c r="Y107" s="137" t="b">
        <f t="shared" si="13"/>
        <v>1</v>
      </c>
      <c r="Z107" s="179">
        <f>ROUND(L107/K107,4)</f>
        <v>0.51539999999999997</v>
      </c>
      <c r="AA107" s="180" t="s">
        <v>14</v>
      </c>
      <c r="AB107" s="180" t="b">
        <f>K108=L108+M108</f>
        <v>1</v>
      </c>
    </row>
    <row r="108" spans="1:28" ht="20.100000000000001" customHeight="1">
      <c r="A108" s="359" t="s">
        <v>38</v>
      </c>
      <c r="B108" s="360"/>
      <c r="C108" s="360"/>
      <c r="D108" s="360"/>
      <c r="E108" s="360"/>
      <c r="F108" s="360"/>
      <c r="G108" s="360"/>
      <c r="H108" s="361"/>
      <c r="I108" s="132">
        <f>SUMIF($C$3:$C$105,"N",I3:I105)</f>
        <v>38.653999999999982</v>
      </c>
      <c r="J108" s="133" t="s">
        <v>14</v>
      </c>
      <c r="K108" s="33">
        <f>SUMIF($C$3:$C$105,"N",K3:K105)</f>
        <v>89014460.799999982</v>
      </c>
      <c r="L108" s="33">
        <f>SUMIF($C$3:$C$105,"N",L3:L105)</f>
        <v>54279512.429999992</v>
      </c>
      <c r="M108" s="33">
        <f>SUMIF($C$3:$C$105,"N",M3:M105)</f>
        <v>34734948.369999997</v>
      </c>
      <c r="N108" s="134" t="s">
        <v>14</v>
      </c>
      <c r="O108" s="33">
        <f t="shared" ref="O108:X108" si="26">SUMIF($C$3:$C$105,"N",O3:O105)</f>
        <v>0</v>
      </c>
      <c r="P108" s="33">
        <f t="shared" si="26"/>
        <v>0</v>
      </c>
      <c r="Q108" s="33">
        <f t="shared" si="26"/>
        <v>0</v>
      </c>
      <c r="R108" s="33">
        <f t="shared" si="26"/>
        <v>0</v>
      </c>
      <c r="S108" s="33">
        <f>SUMIF($C$3:$C$105,"N",S3:S105)</f>
        <v>54279512.429999992</v>
      </c>
      <c r="T108" s="33">
        <f t="shared" si="26"/>
        <v>0</v>
      </c>
      <c r="U108" s="33">
        <f t="shared" si="26"/>
        <v>0</v>
      </c>
      <c r="V108" s="33">
        <f t="shared" si="26"/>
        <v>0</v>
      </c>
      <c r="W108" s="33">
        <f t="shared" si="26"/>
        <v>0</v>
      </c>
      <c r="X108" s="33">
        <f t="shared" si="26"/>
        <v>0</v>
      </c>
      <c r="Y108" s="137" t="b">
        <f t="shared" si="13"/>
        <v>1</v>
      </c>
      <c r="Z108" s="179">
        <f>ROUND(L108/K108,4)</f>
        <v>0.60980000000000001</v>
      </c>
      <c r="AA108" s="180" t="s">
        <v>14</v>
      </c>
      <c r="AB108" s="180" t="b">
        <f>K109=L109+M109</f>
        <v>1</v>
      </c>
    </row>
    <row r="109" spans="1:28">
      <c r="A109" s="356" t="s">
        <v>39</v>
      </c>
      <c r="B109" s="357"/>
      <c r="C109" s="357"/>
      <c r="D109" s="357"/>
      <c r="E109" s="357"/>
      <c r="F109" s="357"/>
      <c r="G109" s="357"/>
      <c r="H109" s="358"/>
      <c r="I109" s="135">
        <f>SUMIF($C$3:$C$105,"W",I3:I105)</f>
        <v>25.326000000000001</v>
      </c>
      <c r="J109" s="321" t="s">
        <v>14</v>
      </c>
      <c r="K109" s="252">
        <f>SUMIF($C$3:$C$105,"W",K3:K105)</f>
        <v>60035908.159999996</v>
      </c>
      <c r="L109" s="252">
        <f>SUMIF($C$3:$C$105,"W",L3:L105)</f>
        <v>35201798.050000004</v>
      </c>
      <c r="M109" s="252">
        <f>SUMIF($C$3:$C$105,"W",M3:M105)</f>
        <v>24834110.110000003</v>
      </c>
      <c r="N109" s="136" t="s">
        <v>14</v>
      </c>
      <c r="O109" s="252">
        <f t="shared" ref="O109:X109" si="27">SUMIF($C$3:$C$105,"W",O3:O105)</f>
        <v>0</v>
      </c>
      <c r="P109" s="252">
        <f t="shared" si="27"/>
        <v>0</v>
      </c>
      <c r="Q109" s="252">
        <f t="shared" si="27"/>
        <v>0</v>
      </c>
      <c r="R109" s="252">
        <f t="shared" si="27"/>
        <v>0</v>
      </c>
      <c r="S109" s="252">
        <f t="shared" si="27"/>
        <v>11181208.68</v>
      </c>
      <c r="T109" s="252">
        <f t="shared" si="27"/>
        <v>22156230.5</v>
      </c>
      <c r="U109" s="252">
        <f t="shared" si="27"/>
        <v>1864358.87</v>
      </c>
      <c r="V109" s="252">
        <f t="shared" si="27"/>
        <v>0</v>
      </c>
      <c r="W109" s="252">
        <f t="shared" si="27"/>
        <v>0</v>
      </c>
      <c r="X109" s="252">
        <f t="shared" si="27"/>
        <v>0</v>
      </c>
      <c r="Y109" s="137" t="b">
        <f t="shared" si="13"/>
        <v>1</v>
      </c>
      <c r="Z109" s="179">
        <f>ROUND(L109/K109,4)</f>
        <v>0.58630000000000004</v>
      </c>
      <c r="AA109" s="137" t="s">
        <v>14</v>
      </c>
      <c r="AB109" s="180" t="b">
        <f>K110=L110+M110</f>
        <v>1</v>
      </c>
    </row>
    <row r="110" spans="1:28">
      <c r="A110" s="268"/>
      <c r="K110" s="5"/>
    </row>
    <row r="111" spans="1:28">
      <c r="A111" s="349" t="s">
        <v>25</v>
      </c>
      <c r="B111" s="349"/>
      <c r="C111" s="349"/>
      <c r="D111" s="349"/>
      <c r="E111" s="349"/>
      <c r="F111" s="349"/>
      <c r="G111" s="22"/>
      <c r="H111" s="24"/>
      <c r="I111" s="289"/>
      <c r="J111" s="193"/>
      <c r="K111" s="290"/>
      <c r="L111" s="290"/>
      <c r="M111" s="137"/>
      <c r="N111" s="290"/>
      <c r="O111" s="290"/>
      <c r="P111" s="290"/>
      <c r="Q111" s="290"/>
      <c r="R111" s="290"/>
      <c r="S111" s="290"/>
      <c r="T111" s="290"/>
    </row>
    <row r="112" spans="1:28">
      <c r="A112" s="350" t="s">
        <v>26</v>
      </c>
      <c r="B112" s="350"/>
      <c r="C112" s="350"/>
      <c r="D112" s="350"/>
      <c r="E112" s="350"/>
      <c r="F112" s="350"/>
      <c r="G112" s="350"/>
      <c r="H112" s="24"/>
      <c r="I112" s="289"/>
      <c r="J112" s="194"/>
      <c r="K112" s="290"/>
      <c r="L112" s="290"/>
      <c r="M112" s="137"/>
      <c r="N112" s="290"/>
      <c r="O112" s="290"/>
      <c r="P112" s="290"/>
      <c r="Q112" s="290"/>
      <c r="R112" s="290"/>
      <c r="S112" s="290"/>
      <c r="T112" s="290"/>
    </row>
    <row r="113" spans="1:27" s="4" customFormat="1" ht="22.9" customHeight="1">
      <c r="A113" s="349" t="s">
        <v>42</v>
      </c>
      <c r="B113" s="349"/>
      <c r="C113" s="349"/>
      <c r="D113" s="349"/>
      <c r="E113" s="349"/>
      <c r="F113" s="349"/>
      <c r="G113" s="349"/>
      <c r="I113" s="291"/>
      <c r="J113" s="195"/>
      <c r="K113" s="191"/>
      <c r="L113" s="191"/>
      <c r="M113" s="137"/>
      <c r="N113" s="191"/>
      <c r="O113" s="191"/>
      <c r="P113" s="191"/>
      <c r="Q113" s="191"/>
      <c r="R113" s="191"/>
      <c r="S113" s="191"/>
      <c r="T113" s="191"/>
      <c r="U113" s="191"/>
      <c r="V113" s="191"/>
      <c r="W113" s="191"/>
      <c r="X113" s="191"/>
      <c r="Y113" s="24"/>
      <c r="Z113" s="24"/>
      <c r="AA113" s="24"/>
    </row>
    <row r="114" spans="1:27" s="4" customFormat="1" ht="22.9" customHeight="1">
      <c r="U114" s="191"/>
      <c r="V114" s="191"/>
      <c r="W114" s="191"/>
      <c r="X114" s="191"/>
      <c r="Y114" s="24"/>
      <c r="Z114" s="24"/>
      <c r="AA114" s="24"/>
    </row>
    <row r="115" spans="1:27" s="4" customFormat="1" ht="22.9" customHeight="1">
      <c r="A115" s="352" t="s">
        <v>509</v>
      </c>
      <c r="B115" s="352"/>
      <c r="C115" s="352"/>
      <c r="D115" s="352"/>
      <c r="E115" s="352"/>
      <c r="F115" s="352"/>
      <c r="G115" s="352"/>
      <c r="H115" s="352"/>
      <c r="I115" s="352"/>
      <c r="J115" s="352"/>
      <c r="K115" s="352"/>
      <c r="L115" s="352"/>
      <c r="M115" s="352"/>
      <c r="N115" s="352"/>
      <c r="O115" s="352"/>
      <c r="P115" s="352"/>
      <c r="Q115" s="352"/>
      <c r="R115" s="352"/>
      <c r="S115" s="191"/>
      <c r="T115" s="191"/>
      <c r="U115" s="191"/>
      <c r="V115" s="191"/>
      <c r="W115" s="191"/>
      <c r="X115" s="191"/>
      <c r="Y115" s="24"/>
      <c r="Z115" s="24"/>
      <c r="AA115" s="24"/>
    </row>
    <row r="116" spans="1:27">
      <c r="A116" s="292" t="s">
        <v>510</v>
      </c>
      <c r="B116" s="292"/>
      <c r="C116" s="292"/>
      <c r="D116" s="292"/>
      <c r="E116" s="292"/>
      <c r="F116" s="292"/>
      <c r="G116" s="292"/>
      <c r="H116" s="292"/>
      <c r="I116" s="292"/>
      <c r="J116" s="292"/>
      <c r="K116" s="292"/>
      <c r="L116" s="292"/>
      <c r="M116" s="292"/>
      <c r="N116" s="292"/>
      <c r="O116" s="292"/>
      <c r="P116" s="292"/>
      <c r="Q116" s="292"/>
      <c r="R116" s="292"/>
      <c r="S116" s="292"/>
      <c r="T116" s="292"/>
    </row>
    <row r="117" spans="1:27">
      <c r="A117" s="293"/>
      <c r="I117" s="291"/>
      <c r="J117" s="191"/>
      <c r="K117" s="191"/>
      <c r="L117" s="191"/>
      <c r="M117" s="137"/>
      <c r="N117" s="191"/>
      <c r="Y117" s="3"/>
      <c r="Z117" s="3"/>
      <c r="AA117" s="3"/>
    </row>
    <row r="118" spans="1:27">
      <c r="A118" s="351" t="s">
        <v>109</v>
      </c>
      <c r="B118" s="351"/>
      <c r="C118" s="351"/>
      <c r="D118" s="351"/>
      <c r="E118" s="351"/>
      <c r="F118" s="351"/>
      <c r="G118" s="351"/>
      <c r="H118" s="351"/>
      <c r="I118" s="351"/>
      <c r="J118" s="351"/>
      <c r="K118" s="191"/>
      <c r="L118" s="191"/>
      <c r="M118" s="137"/>
      <c r="N118" s="191"/>
      <c r="Y118" s="3"/>
      <c r="Z118" s="3"/>
      <c r="AA118" s="3"/>
    </row>
    <row r="119" spans="1:27">
      <c r="A119" s="351" t="s">
        <v>110</v>
      </c>
      <c r="B119" s="351"/>
      <c r="C119" s="351"/>
      <c r="D119" s="351"/>
      <c r="E119" s="351"/>
      <c r="F119" s="351"/>
      <c r="G119" s="351"/>
      <c r="H119" s="351"/>
      <c r="I119" s="351"/>
      <c r="J119" s="191"/>
      <c r="K119" s="191"/>
      <c r="L119" s="191"/>
      <c r="M119" s="137"/>
      <c r="N119" s="191"/>
    </row>
    <row r="122" spans="1:27">
      <c r="Y122" s="3"/>
      <c r="Z122" s="3"/>
      <c r="AA122" s="3"/>
    </row>
    <row r="123" spans="1:27">
      <c r="Y123" s="3"/>
      <c r="Z123" s="3"/>
      <c r="AA123" s="3"/>
    </row>
    <row r="124" spans="1:27">
      <c r="Y124" s="3"/>
      <c r="Z124" s="3"/>
      <c r="AA124" s="3"/>
    </row>
    <row r="125" spans="1:27">
      <c r="Q125" s="323"/>
    </row>
  </sheetData>
  <mergeCells count="25">
    <mergeCell ref="F1:F2"/>
    <mergeCell ref="G1:G2"/>
    <mergeCell ref="D1:D2"/>
    <mergeCell ref="A119:I119"/>
    <mergeCell ref="A111:F111"/>
    <mergeCell ref="A112:G112"/>
    <mergeCell ref="A113:G113"/>
    <mergeCell ref="A115:R115"/>
    <mergeCell ref="A118:J118"/>
    <mergeCell ref="A109:H109"/>
    <mergeCell ref="A108:H108"/>
    <mergeCell ref="E1:E2"/>
    <mergeCell ref="A107:H107"/>
    <mergeCell ref="O1:X1"/>
    <mergeCell ref="L1:L2"/>
    <mergeCell ref="M1:M2"/>
    <mergeCell ref="N1:N2"/>
    <mergeCell ref="C1:C2"/>
    <mergeCell ref="A106:H106"/>
    <mergeCell ref="H1:H2"/>
    <mergeCell ref="I1:I2"/>
    <mergeCell ref="J1:J2"/>
    <mergeCell ref="K1:K2"/>
    <mergeCell ref="A1:A2"/>
    <mergeCell ref="B1:B2"/>
  </mergeCells>
  <conditionalFormatting sqref="AB109 Z106:Z109 AA106:AB108 Z105:AB105 Y105:Y109 Y3:AB104">
    <cfRule type="cellIs" dxfId="38" priority="137" operator="equal">
      <formula>FALSE</formula>
    </cfRule>
  </conditionalFormatting>
  <conditionalFormatting sqref="Z106:Z109 AA106:AA108 Z105:AA105 Y105:Y109 Y3:AA104">
    <cfRule type="containsText" dxfId="37" priority="135" operator="containsText" text="fałsz">
      <formula>NOT(ISERROR(SEARCH("fałsz",Y3)))</formula>
    </cfRule>
  </conditionalFormatting>
  <dataValidations count="2">
    <dataValidation type="list" allowBlank="1" showInputMessage="1" showErrorMessage="1" sqref="H3:H34">
      <formula1>"B,P,R"</formula1>
    </dataValidation>
    <dataValidation type="list" allowBlank="1" showInputMessage="1" showErrorMessage="1" sqref="C3:C105">
      <formula1>"N,K,W"</formula1>
    </dataValidation>
  </dataValidations>
  <pageMargins left="0.23622047244094491" right="0.23622047244094491" top="0.74803149606299213" bottom="0.74803149606299213" header="0.31496062992125984" footer="0.31496062992125984"/>
  <pageSetup paperSize="8" scale="53" fitToHeight="0" orientation="landscape" r:id="rId1"/>
  <headerFooter>
    <oddHeader>&amp;LWojewództwo podlaskie - zadania gminne lista podstawowa</oddHeader>
    <oddFooter>Strona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B111"/>
  <sheetViews>
    <sheetView showGridLines="0" view="pageBreakPreview" zoomScale="90" zoomScaleNormal="78" zoomScaleSheetLayoutView="90" workbookViewId="0">
      <selection sqref="A1:A2"/>
    </sheetView>
  </sheetViews>
  <sheetFormatPr defaultRowHeight="15"/>
  <cols>
    <col min="1" max="1" width="5.140625" style="24" customWidth="1"/>
    <col min="2" max="2" width="7.28515625" style="24" customWidth="1"/>
    <col min="3" max="3" width="13" style="24" customWidth="1"/>
    <col min="4" max="4" width="18.7109375" style="24" customWidth="1"/>
    <col min="5" max="5" width="9.85546875" style="24" customWidth="1"/>
    <col min="6" max="6" width="65.7109375" style="24" customWidth="1"/>
    <col min="7" max="7" width="8.85546875" style="24" customWidth="1"/>
    <col min="8" max="8" width="9.42578125" style="24" customWidth="1"/>
    <col min="9" max="9" width="13.5703125" style="24" customWidth="1"/>
    <col min="10" max="12" width="15.7109375" style="24" customWidth="1"/>
    <col min="13" max="13" width="13" style="137" customWidth="1"/>
    <col min="14" max="16" width="15.7109375" style="24" customWidth="1"/>
    <col min="17" max="17" width="17.85546875" style="24" customWidth="1"/>
    <col min="18" max="19" width="15.7109375" style="24" customWidth="1"/>
    <col min="20" max="20" width="12.42578125" style="24" customWidth="1"/>
    <col min="21" max="21" width="13.85546875" style="24" customWidth="1"/>
    <col min="22" max="22" width="13.7109375" style="24" customWidth="1"/>
    <col min="23" max="23" width="12.28515625" style="24" customWidth="1"/>
    <col min="24" max="27" width="15.7109375" style="7" customWidth="1"/>
    <col min="28" max="16384" width="9.140625" style="7"/>
  </cols>
  <sheetData>
    <row r="1" spans="1:28" ht="20.100000000000001" customHeight="1">
      <c r="A1" s="355" t="s">
        <v>4</v>
      </c>
      <c r="B1" s="355" t="s">
        <v>5</v>
      </c>
      <c r="C1" s="368" t="s">
        <v>44</v>
      </c>
      <c r="D1" s="366" t="s">
        <v>6</v>
      </c>
      <c r="E1" s="368" t="s">
        <v>33</v>
      </c>
      <c r="F1" s="366" t="s">
        <v>7</v>
      </c>
      <c r="G1" s="355" t="s">
        <v>27</v>
      </c>
      <c r="H1" s="355" t="s">
        <v>8</v>
      </c>
      <c r="I1" s="355" t="s">
        <v>24</v>
      </c>
      <c r="J1" s="355" t="s">
        <v>9</v>
      </c>
      <c r="K1" s="355" t="s">
        <v>10</v>
      </c>
      <c r="L1" s="366" t="s">
        <v>13</v>
      </c>
      <c r="M1" s="355" t="s">
        <v>11</v>
      </c>
      <c r="N1" s="355" t="s">
        <v>12</v>
      </c>
      <c r="O1" s="355"/>
      <c r="P1" s="355"/>
      <c r="Q1" s="355"/>
      <c r="R1" s="355"/>
      <c r="S1" s="355"/>
      <c r="T1" s="355"/>
      <c r="U1" s="355"/>
      <c r="V1" s="355"/>
      <c r="W1" s="355"/>
      <c r="X1" s="24"/>
      <c r="Y1" s="24"/>
      <c r="Z1" s="24"/>
      <c r="AA1" s="24"/>
    </row>
    <row r="2" spans="1:28" ht="32.25" customHeight="1">
      <c r="A2" s="355"/>
      <c r="B2" s="355"/>
      <c r="C2" s="363"/>
      <c r="D2" s="367"/>
      <c r="E2" s="363"/>
      <c r="F2" s="367"/>
      <c r="G2" s="355"/>
      <c r="H2" s="355"/>
      <c r="I2" s="355"/>
      <c r="J2" s="355"/>
      <c r="K2" s="355"/>
      <c r="L2" s="367"/>
      <c r="M2" s="355"/>
      <c r="N2" s="319">
        <v>2019</v>
      </c>
      <c r="O2" s="319">
        <v>2020</v>
      </c>
      <c r="P2" s="319">
        <v>2021</v>
      </c>
      <c r="Q2" s="319">
        <v>2022</v>
      </c>
      <c r="R2" s="319">
        <v>2023</v>
      </c>
      <c r="S2" s="319">
        <v>2024</v>
      </c>
      <c r="T2" s="319">
        <v>2025</v>
      </c>
      <c r="U2" s="319">
        <v>2026</v>
      </c>
      <c r="V2" s="319">
        <v>2027</v>
      </c>
      <c r="W2" s="319">
        <v>2028</v>
      </c>
      <c r="X2" s="137" t="s">
        <v>29</v>
      </c>
      <c r="Y2" s="137" t="s">
        <v>30</v>
      </c>
      <c r="Z2" s="137" t="s">
        <v>31</v>
      </c>
      <c r="AA2" s="28" t="s">
        <v>32</v>
      </c>
    </row>
    <row r="3" spans="1:28" s="316" customFormat="1" ht="37.5" customHeight="1">
      <c r="A3" s="185">
        <v>1</v>
      </c>
      <c r="B3" s="185">
        <v>318</v>
      </c>
      <c r="C3" s="185" t="s">
        <v>73</v>
      </c>
      <c r="D3" s="185" t="s">
        <v>453</v>
      </c>
      <c r="E3" s="217">
        <v>2009000</v>
      </c>
      <c r="F3" s="210" t="s">
        <v>454</v>
      </c>
      <c r="G3" s="182" t="s">
        <v>49</v>
      </c>
      <c r="H3" s="187">
        <v>2.59</v>
      </c>
      <c r="I3" s="211" t="s">
        <v>304</v>
      </c>
      <c r="J3" s="192">
        <v>5052500</v>
      </c>
      <c r="K3" s="206">
        <f>ROUNDDOWN(J3*M3,2)</f>
        <v>4042000</v>
      </c>
      <c r="L3" s="192">
        <f>J3-K3</f>
        <v>1010500</v>
      </c>
      <c r="M3" s="166">
        <v>0.8</v>
      </c>
      <c r="N3" s="199">
        <v>0</v>
      </c>
      <c r="O3" s="199">
        <v>0</v>
      </c>
      <c r="P3" s="162">
        <v>0</v>
      </c>
      <c r="Q3" s="162">
        <v>0</v>
      </c>
      <c r="R3" s="162">
        <f>K3</f>
        <v>4042000</v>
      </c>
      <c r="S3" s="162"/>
      <c r="T3" s="162"/>
      <c r="U3" s="162"/>
      <c r="V3" s="162"/>
      <c r="W3" s="162"/>
      <c r="X3" s="313" t="b">
        <f>K3=SUM(N3:W3)</f>
        <v>1</v>
      </c>
      <c r="Y3" s="314">
        <f>ROUND(K3/J3,4)</f>
        <v>0.8</v>
      </c>
      <c r="Z3" s="315" t="b">
        <f>Y3=M3</f>
        <v>1</v>
      </c>
      <c r="AA3" s="315" t="b">
        <f>J3=K3+L3</f>
        <v>1</v>
      </c>
    </row>
    <row r="4" spans="1:28" s="31" customFormat="1" ht="37.5" customHeight="1">
      <c r="A4" s="243">
        <v>2</v>
      </c>
      <c r="B4" s="243">
        <v>298</v>
      </c>
      <c r="C4" s="243" t="s">
        <v>61</v>
      </c>
      <c r="D4" s="243" t="s">
        <v>118</v>
      </c>
      <c r="E4" s="218">
        <v>2013000</v>
      </c>
      <c r="F4" s="245" t="s">
        <v>455</v>
      </c>
      <c r="G4" s="246" t="s">
        <v>48</v>
      </c>
      <c r="H4" s="247">
        <v>3.33</v>
      </c>
      <c r="I4" s="261" t="s">
        <v>265</v>
      </c>
      <c r="J4" s="252">
        <v>11000000</v>
      </c>
      <c r="K4" s="251">
        <f t="shared" ref="K4:K26" si="0">ROUNDDOWN(J4*M4,2)</f>
        <v>6600000</v>
      </c>
      <c r="L4" s="252">
        <f t="shared" ref="L4:L27" si="1">J4-K4</f>
        <v>4400000</v>
      </c>
      <c r="M4" s="164">
        <v>0.6</v>
      </c>
      <c r="N4" s="253">
        <v>0</v>
      </c>
      <c r="O4" s="253">
        <v>0</v>
      </c>
      <c r="P4" s="263">
        <v>0</v>
      </c>
      <c r="Q4" s="263">
        <v>0</v>
      </c>
      <c r="R4" s="253">
        <f>2750000*M4</f>
        <v>1650000</v>
      </c>
      <c r="S4" s="253">
        <f>8250000*M4</f>
        <v>4950000</v>
      </c>
      <c r="T4" s="263"/>
      <c r="U4" s="263"/>
      <c r="V4" s="263"/>
      <c r="W4" s="263"/>
      <c r="X4" s="137" t="b">
        <f t="shared" ref="X4:X26" si="2">K4=SUM(N4:W4)</f>
        <v>1</v>
      </c>
      <c r="Y4" s="179">
        <f t="shared" ref="Y4:Y26" si="3">ROUND(K4/J4,4)</f>
        <v>0.6</v>
      </c>
      <c r="Z4" s="180" t="b">
        <f t="shared" ref="Z4:Z26" si="4">Y4=M4</f>
        <v>1</v>
      </c>
      <c r="AA4" s="180" t="b">
        <f t="shared" ref="AA4:AA26" si="5">J4=K4+L4</f>
        <v>1</v>
      </c>
      <c r="AB4" s="32"/>
    </row>
    <row r="5" spans="1:28" s="172" customFormat="1" ht="36.75" customHeight="1">
      <c r="A5" s="243">
        <v>3</v>
      </c>
      <c r="B5" s="243">
        <v>250</v>
      </c>
      <c r="C5" s="243" t="s">
        <v>61</v>
      </c>
      <c r="D5" s="243" t="s">
        <v>47</v>
      </c>
      <c r="E5" s="218">
        <v>2002000</v>
      </c>
      <c r="F5" s="250" t="s">
        <v>153</v>
      </c>
      <c r="G5" s="246" t="s">
        <v>48</v>
      </c>
      <c r="H5" s="247">
        <v>2.5680000000000001</v>
      </c>
      <c r="I5" s="262" t="s">
        <v>274</v>
      </c>
      <c r="J5" s="252">
        <v>6594770</v>
      </c>
      <c r="K5" s="251">
        <f t="shared" si="0"/>
        <v>3956862</v>
      </c>
      <c r="L5" s="252">
        <f t="shared" si="1"/>
        <v>2637908</v>
      </c>
      <c r="M5" s="164">
        <v>0.6</v>
      </c>
      <c r="N5" s="253">
        <v>0</v>
      </c>
      <c r="O5" s="253">
        <v>0</v>
      </c>
      <c r="P5" s="235">
        <v>0</v>
      </c>
      <c r="Q5" s="263">
        <v>0</v>
      </c>
      <c r="R5" s="263">
        <f>2000000*M5</f>
        <v>1200000</v>
      </c>
      <c r="S5" s="253">
        <f>4594770*M5</f>
        <v>2756862</v>
      </c>
      <c r="T5" s="277"/>
      <c r="U5" s="277"/>
      <c r="V5" s="277"/>
      <c r="W5" s="277"/>
      <c r="X5" s="137" t="b">
        <f t="shared" si="2"/>
        <v>1</v>
      </c>
      <c r="Y5" s="179">
        <f t="shared" si="3"/>
        <v>0.6</v>
      </c>
      <c r="Z5" s="180" t="b">
        <f t="shared" si="4"/>
        <v>1</v>
      </c>
      <c r="AA5" s="180" t="b">
        <f t="shared" si="5"/>
        <v>1</v>
      </c>
      <c r="AB5" s="171"/>
    </row>
    <row r="6" spans="1:28" s="172" customFormat="1" ht="36.75" customHeight="1">
      <c r="A6" s="185">
        <v>4</v>
      </c>
      <c r="B6" s="241">
        <v>39</v>
      </c>
      <c r="C6" s="185" t="s">
        <v>73</v>
      </c>
      <c r="D6" s="241" t="s">
        <v>85</v>
      </c>
      <c r="E6" s="217">
        <v>2012000</v>
      </c>
      <c r="F6" s="234" t="s">
        <v>298</v>
      </c>
      <c r="G6" s="230" t="s">
        <v>49</v>
      </c>
      <c r="H6" s="231">
        <v>1.74</v>
      </c>
      <c r="I6" s="241" t="s">
        <v>263</v>
      </c>
      <c r="J6" s="227">
        <v>3211000</v>
      </c>
      <c r="K6" s="173">
        <f t="shared" si="0"/>
        <v>1926600</v>
      </c>
      <c r="L6" s="227">
        <f t="shared" si="1"/>
        <v>1284400</v>
      </c>
      <c r="M6" s="167">
        <v>0.6</v>
      </c>
      <c r="N6" s="199">
        <v>0</v>
      </c>
      <c r="O6" s="199">
        <v>0</v>
      </c>
      <c r="P6" s="215">
        <v>0</v>
      </c>
      <c r="Q6" s="162">
        <v>0</v>
      </c>
      <c r="R6" s="162">
        <f>K6</f>
        <v>1926600</v>
      </c>
      <c r="S6" s="162"/>
      <c r="T6" s="162"/>
      <c r="U6" s="162"/>
      <c r="V6" s="162"/>
      <c r="W6" s="162"/>
      <c r="X6" s="137" t="b">
        <f t="shared" si="2"/>
        <v>1</v>
      </c>
      <c r="Y6" s="179">
        <f t="shared" si="3"/>
        <v>0.6</v>
      </c>
      <c r="Z6" s="180" t="b">
        <f t="shared" si="4"/>
        <v>1</v>
      </c>
      <c r="AA6" s="180" t="b">
        <f t="shared" si="5"/>
        <v>1</v>
      </c>
      <c r="AB6" s="171"/>
    </row>
    <row r="7" spans="1:28" s="31" customFormat="1" ht="37.5" customHeight="1">
      <c r="A7" s="243">
        <v>5</v>
      </c>
      <c r="B7" s="243">
        <v>264</v>
      </c>
      <c r="C7" s="243" t="s">
        <v>61</v>
      </c>
      <c r="D7" s="243" t="s">
        <v>47</v>
      </c>
      <c r="E7" s="218">
        <v>2002000</v>
      </c>
      <c r="F7" s="245" t="s">
        <v>450</v>
      </c>
      <c r="G7" s="246" t="s">
        <v>48</v>
      </c>
      <c r="H7" s="247">
        <v>1.5629999999999999</v>
      </c>
      <c r="I7" s="261" t="s">
        <v>274</v>
      </c>
      <c r="J7" s="252">
        <v>6607100</v>
      </c>
      <c r="K7" s="251">
        <f>ROUNDDOWN(J7*M7,2)</f>
        <v>3964260</v>
      </c>
      <c r="L7" s="252">
        <f t="shared" si="1"/>
        <v>2642840</v>
      </c>
      <c r="M7" s="164">
        <v>0.6</v>
      </c>
      <c r="N7" s="253">
        <v>0</v>
      </c>
      <c r="O7" s="253">
        <v>0</v>
      </c>
      <c r="P7" s="263">
        <v>0</v>
      </c>
      <c r="Q7" s="263">
        <v>0</v>
      </c>
      <c r="R7" s="263">
        <f>3000000*M7</f>
        <v>1800000</v>
      </c>
      <c r="S7" s="253">
        <f>3607100*M7</f>
        <v>2164260</v>
      </c>
      <c r="T7" s="162"/>
      <c r="U7" s="162"/>
      <c r="V7" s="162"/>
      <c r="W7" s="162"/>
      <c r="X7" s="137" t="b">
        <f t="shared" si="2"/>
        <v>1</v>
      </c>
      <c r="Y7" s="179">
        <f t="shared" si="3"/>
        <v>0.6</v>
      </c>
      <c r="Z7" s="180" t="b">
        <f t="shared" si="4"/>
        <v>1</v>
      </c>
      <c r="AA7" s="180" t="b">
        <f t="shared" si="5"/>
        <v>1</v>
      </c>
      <c r="AB7" s="32"/>
    </row>
    <row r="8" spans="1:28" s="172" customFormat="1" ht="36.75" customHeight="1">
      <c r="A8" s="185">
        <v>6</v>
      </c>
      <c r="B8" s="185">
        <v>100</v>
      </c>
      <c r="C8" s="185" t="s">
        <v>73</v>
      </c>
      <c r="D8" s="185" t="s">
        <v>72</v>
      </c>
      <c r="E8" s="217">
        <v>2007000</v>
      </c>
      <c r="F8" s="234" t="s">
        <v>299</v>
      </c>
      <c r="G8" s="182" t="s">
        <v>49</v>
      </c>
      <c r="H8" s="187">
        <v>1.5</v>
      </c>
      <c r="I8" s="241" t="s">
        <v>282</v>
      </c>
      <c r="J8" s="192">
        <v>3280000</v>
      </c>
      <c r="K8" s="173">
        <f>ROUNDDOWN(J8*M8,2)</f>
        <v>1968000</v>
      </c>
      <c r="L8" s="227">
        <f t="shared" si="1"/>
        <v>1312000</v>
      </c>
      <c r="M8" s="167">
        <v>0.6</v>
      </c>
      <c r="N8" s="199">
        <v>0</v>
      </c>
      <c r="O8" s="199">
        <v>0</v>
      </c>
      <c r="P8" s="215">
        <v>0</v>
      </c>
      <c r="Q8" s="162">
        <v>0</v>
      </c>
      <c r="R8" s="162">
        <f t="shared" ref="R8:R14" si="6">K8</f>
        <v>1968000</v>
      </c>
      <c r="S8" s="267"/>
      <c r="T8" s="162"/>
      <c r="U8" s="162"/>
      <c r="V8" s="162"/>
      <c r="W8" s="162"/>
      <c r="X8" s="137" t="b">
        <f t="shared" si="2"/>
        <v>1</v>
      </c>
      <c r="Y8" s="179">
        <f t="shared" si="3"/>
        <v>0.6</v>
      </c>
      <c r="Z8" s="180" t="b">
        <f t="shared" si="4"/>
        <v>1</v>
      </c>
      <c r="AA8" s="180" t="b">
        <f t="shared" si="5"/>
        <v>1</v>
      </c>
      <c r="AB8" s="171"/>
    </row>
    <row r="9" spans="1:28" s="172" customFormat="1" ht="36.75" customHeight="1">
      <c r="A9" s="185">
        <v>7</v>
      </c>
      <c r="B9" s="241">
        <v>12</v>
      </c>
      <c r="C9" s="185" t="s">
        <v>73</v>
      </c>
      <c r="D9" s="241" t="s">
        <v>130</v>
      </c>
      <c r="E9" s="217">
        <v>2005000</v>
      </c>
      <c r="F9" s="234" t="s">
        <v>277</v>
      </c>
      <c r="G9" s="241" t="s">
        <v>48</v>
      </c>
      <c r="H9" s="287">
        <v>1.05</v>
      </c>
      <c r="I9" s="241" t="s">
        <v>256</v>
      </c>
      <c r="J9" s="288">
        <v>3908360.5</v>
      </c>
      <c r="K9" s="206">
        <f t="shared" si="0"/>
        <v>2345016.2999999998</v>
      </c>
      <c r="L9" s="192">
        <f t="shared" si="1"/>
        <v>1563344.2000000002</v>
      </c>
      <c r="M9" s="166">
        <v>0.6</v>
      </c>
      <c r="N9" s="199">
        <v>0</v>
      </c>
      <c r="O9" s="199">
        <v>0</v>
      </c>
      <c r="P9" s="215">
        <v>0</v>
      </c>
      <c r="Q9" s="162">
        <v>0</v>
      </c>
      <c r="R9" s="162">
        <f t="shared" si="6"/>
        <v>2345016.2999999998</v>
      </c>
      <c r="S9" s="162"/>
      <c r="T9" s="162"/>
      <c r="U9" s="162"/>
      <c r="V9" s="162"/>
      <c r="W9" s="162"/>
      <c r="X9" s="137" t="b">
        <f t="shared" si="2"/>
        <v>1</v>
      </c>
      <c r="Y9" s="179">
        <f t="shared" si="3"/>
        <v>0.6</v>
      </c>
      <c r="Z9" s="180" t="b">
        <f t="shared" si="4"/>
        <v>1</v>
      </c>
      <c r="AA9" s="180" t="b">
        <f t="shared" si="5"/>
        <v>1</v>
      </c>
      <c r="AB9" s="171"/>
    </row>
    <row r="10" spans="1:28" s="31" customFormat="1" ht="37.5" customHeight="1">
      <c r="A10" s="185">
        <v>8</v>
      </c>
      <c r="B10" s="241">
        <v>167</v>
      </c>
      <c r="C10" s="241" t="s">
        <v>73</v>
      </c>
      <c r="D10" s="241" t="s">
        <v>81</v>
      </c>
      <c r="E10" s="296">
        <v>2003000</v>
      </c>
      <c r="F10" s="229" t="s">
        <v>457</v>
      </c>
      <c r="G10" s="230" t="s">
        <v>49</v>
      </c>
      <c r="H10" s="231">
        <v>3.556</v>
      </c>
      <c r="I10" s="297" t="s">
        <v>458</v>
      </c>
      <c r="J10" s="227">
        <v>6122050</v>
      </c>
      <c r="K10" s="173">
        <f>ROUNDDOWN(J10*M10,2)</f>
        <v>3673230</v>
      </c>
      <c r="L10" s="227">
        <f t="shared" si="1"/>
        <v>2448820</v>
      </c>
      <c r="M10" s="167">
        <v>0.6</v>
      </c>
      <c r="N10" s="226">
        <v>0</v>
      </c>
      <c r="O10" s="226"/>
      <c r="P10" s="163">
        <v>0</v>
      </c>
      <c r="Q10" s="163">
        <v>0</v>
      </c>
      <c r="R10" s="226">
        <f t="shared" si="6"/>
        <v>3673230</v>
      </c>
      <c r="S10" s="253"/>
      <c r="T10" s="162"/>
      <c r="U10" s="162"/>
      <c r="V10" s="162"/>
      <c r="W10" s="162"/>
      <c r="X10" s="137" t="b">
        <f t="shared" si="2"/>
        <v>1</v>
      </c>
      <c r="Y10" s="179">
        <f t="shared" si="3"/>
        <v>0.6</v>
      </c>
      <c r="Z10" s="180" t="b">
        <f t="shared" si="4"/>
        <v>1</v>
      </c>
      <c r="AA10" s="180" t="b">
        <f t="shared" si="5"/>
        <v>1</v>
      </c>
      <c r="AB10" s="32"/>
    </row>
    <row r="11" spans="1:28" s="172" customFormat="1" ht="36.75" customHeight="1">
      <c r="A11" s="185">
        <v>9</v>
      </c>
      <c r="B11" s="241">
        <v>149</v>
      </c>
      <c r="C11" s="185" t="s">
        <v>73</v>
      </c>
      <c r="D11" s="185" t="s">
        <v>119</v>
      </c>
      <c r="E11" s="217">
        <v>2001000</v>
      </c>
      <c r="F11" s="186" t="s">
        <v>291</v>
      </c>
      <c r="G11" s="182" t="s">
        <v>48</v>
      </c>
      <c r="H11" s="187">
        <v>1</v>
      </c>
      <c r="I11" s="188" t="s">
        <v>292</v>
      </c>
      <c r="J11" s="192">
        <v>2200000</v>
      </c>
      <c r="K11" s="206">
        <f t="shared" si="0"/>
        <v>1320000</v>
      </c>
      <c r="L11" s="192">
        <f t="shared" si="1"/>
        <v>880000</v>
      </c>
      <c r="M11" s="166">
        <v>0.6</v>
      </c>
      <c r="N11" s="199">
        <v>0</v>
      </c>
      <c r="O11" s="199">
        <v>0</v>
      </c>
      <c r="P11" s="215">
        <v>0</v>
      </c>
      <c r="Q11" s="162">
        <v>0</v>
      </c>
      <c r="R11" s="162">
        <f t="shared" si="6"/>
        <v>1320000</v>
      </c>
      <c r="S11" s="267"/>
      <c r="T11" s="162"/>
      <c r="U11" s="162"/>
      <c r="V11" s="162"/>
      <c r="W11" s="162"/>
      <c r="X11" s="137" t="b">
        <f t="shared" si="2"/>
        <v>1</v>
      </c>
      <c r="Y11" s="179">
        <f t="shared" si="3"/>
        <v>0.6</v>
      </c>
      <c r="Z11" s="180" t="b">
        <f t="shared" si="4"/>
        <v>1</v>
      </c>
      <c r="AA11" s="180" t="b">
        <f t="shared" si="5"/>
        <v>1</v>
      </c>
      <c r="AB11" s="171"/>
    </row>
    <row r="12" spans="1:28" s="31" customFormat="1" ht="37.5" customHeight="1">
      <c r="A12" s="185">
        <v>10</v>
      </c>
      <c r="B12" s="241">
        <v>104</v>
      </c>
      <c r="C12" s="185" t="s">
        <v>73</v>
      </c>
      <c r="D12" s="185" t="s">
        <v>72</v>
      </c>
      <c r="E12" s="217">
        <v>2007000</v>
      </c>
      <c r="F12" s="210" t="s">
        <v>441</v>
      </c>
      <c r="G12" s="182" t="s">
        <v>49</v>
      </c>
      <c r="H12" s="187">
        <v>0.74</v>
      </c>
      <c r="I12" s="211" t="s">
        <v>282</v>
      </c>
      <c r="J12" s="192">
        <v>2800000</v>
      </c>
      <c r="K12" s="206">
        <f t="shared" si="0"/>
        <v>1680000</v>
      </c>
      <c r="L12" s="192">
        <f t="shared" si="1"/>
        <v>1120000</v>
      </c>
      <c r="M12" s="166">
        <v>0.6</v>
      </c>
      <c r="N12" s="199">
        <v>0</v>
      </c>
      <c r="O12" s="199">
        <v>0</v>
      </c>
      <c r="P12" s="162">
        <v>0</v>
      </c>
      <c r="Q12" s="162">
        <v>0</v>
      </c>
      <c r="R12" s="162">
        <f t="shared" si="6"/>
        <v>1680000</v>
      </c>
      <c r="S12" s="162"/>
      <c r="T12" s="162"/>
      <c r="U12" s="162"/>
      <c r="V12" s="162"/>
      <c r="W12" s="162"/>
      <c r="X12" s="137" t="b">
        <f t="shared" si="2"/>
        <v>1</v>
      </c>
      <c r="Y12" s="179">
        <f t="shared" si="3"/>
        <v>0.6</v>
      </c>
      <c r="Z12" s="180" t="b">
        <f t="shared" si="4"/>
        <v>1</v>
      </c>
      <c r="AA12" s="180" t="b">
        <f t="shared" si="5"/>
        <v>1</v>
      </c>
      <c r="AB12" s="32"/>
    </row>
    <row r="13" spans="1:28" s="172" customFormat="1" ht="36.75" customHeight="1">
      <c r="A13" s="185">
        <v>11</v>
      </c>
      <c r="B13" s="241">
        <v>165</v>
      </c>
      <c r="C13" s="185" t="s">
        <v>73</v>
      </c>
      <c r="D13" s="185" t="s">
        <v>81</v>
      </c>
      <c r="E13" s="217">
        <v>2003000</v>
      </c>
      <c r="F13" s="186" t="s">
        <v>286</v>
      </c>
      <c r="G13" s="182" t="s">
        <v>49</v>
      </c>
      <c r="H13" s="187">
        <v>1.2430000000000001</v>
      </c>
      <c r="I13" s="188" t="s">
        <v>256</v>
      </c>
      <c r="J13" s="192">
        <v>3122360.6</v>
      </c>
      <c r="K13" s="206">
        <f>ROUNDDOWN(J13*M13,2)</f>
        <v>1873416.36</v>
      </c>
      <c r="L13" s="192">
        <f t="shared" si="1"/>
        <v>1248944.24</v>
      </c>
      <c r="M13" s="166">
        <v>0.6</v>
      </c>
      <c r="N13" s="199">
        <v>0</v>
      </c>
      <c r="O13" s="199">
        <v>0</v>
      </c>
      <c r="P13" s="215">
        <v>0</v>
      </c>
      <c r="Q13" s="162">
        <v>0</v>
      </c>
      <c r="R13" s="162">
        <f t="shared" si="6"/>
        <v>1873416.36</v>
      </c>
      <c r="S13" s="162"/>
      <c r="T13" s="162"/>
      <c r="U13" s="162"/>
      <c r="V13" s="162"/>
      <c r="W13" s="162"/>
      <c r="X13" s="137" t="b">
        <f t="shared" si="2"/>
        <v>1</v>
      </c>
      <c r="Y13" s="179">
        <f t="shared" si="3"/>
        <v>0.6</v>
      </c>
      <c r="Z13" s="180" t="b">
        <f t="shared" si="4"/>
        <v>1</v>
      </c>
      <c r="AA13" s="180" t="b">
        <f t="shared" si="5"/>
        <v>1</v>
      </c>
      <c r="AB13" s="171"/>
    </row>
    <row r="14" spans="1:28" s="31" customFormat="1" ht="37.5" customHeight="1">
      <c r="A14" s="185">
        <v>12</v>
      </c>
      <c r="B14" s="185">
        <v>43</v>
      </c>
      <c r="C14" s="185" t="s">
        <v>73</v>
      </c>
      <c r="D14" s="241" t="s">
        <v>85</v>
      </c>
      <c r="E14" s="217">
        <v>2012000</v>
      </c>
      <c r="F14" s="229" t="s">
        <v>436</v>
      </c>
      <c r="G14" s="182" t="s">
        <v>49</v>
      </c>
      <c r="H14" s="187">
        <v>0.55000000000000004</v>
      </c>
      <c r="I14" s="232" t="s">
        <v>263</v>
      </c>
      <c r="J14" s="192">
        <v>1401000</v>
      </c>
      <c r="K14" s="206">
        <f t="shared" si="0"/>
        <v>840600</v>
      </c>
      <c r="L14" s="192">
        <f t="shared" si="1"/>
        <v>560400</v>
      </c>
      <c r="M14" s="166">
        <v>0.6</v>
      </c>
      <c r="N14" s="199">
        <v>0</v>
      </c>
      <c r="O14" s="199">
        <v>0</v>
      </c>
      <c r="P14" s="162">
        <v>0</v>
      </c>
      <c r="Q14" s="162">
        <v>0</v>
      </c>
      <c r="R14" s="162">
        <f t="shared" si="6"/>
        <v>840600</v>
      </c>
      <c r="S14" s="162"/>
      <c r="T14" s="162"/>
      <c r="U14" s="162"/>
      <c r="V14" s="162"/>
      <c r="W14" s="162"/>
      <c r="X14" s="137" t="b">
        <f t="shared" si="2"/>
        <v>1</v>
      </c>
      <c r="Y14" s="179">
        <f t="shared" si="3"/>
        <v>0.6</v>
      </c>
      <c r="Z14" s="180" t="b">
        <f t="shared" si="4"/>
        <v>1</v>
      </c>
      <c r="AA14" s="180" t="b">
        <f t="shared" si="5"/>
        <v>1</v>
      </c>
      <c r="AB14" s="32"/>
    </row>
    <row r="15" spans="1:28" s="31" customFormat="1" ht="37.5" customHeight="1">
      <c r="A15" s="243">
        <v>13</v>
      </c>
      <c r="B15" s="243">
        <v>252</v>
      </c>
      <c r="C15" s="243" t="s">
        <v>61</v>
      </c>
      <c r="D15" s="243" t="s">
        <v>47</v>
      </c>
      <c r="E15" s="218">
        <v>2002000</v>
      </c>
      <c r="F15" s="245" t="s">
        <v>447</v>
      </c>
      <c r="G15" s="246" t="s">
        <v>48</v>
      </c>
      <c r="H15" s="247">
        <v>0.16300000000000001</v>
      </c>
      <c r="I15" s="261" t="s">
        <v>274</v>
      </c>
      <c r="J15" s="252">
        <v>745432.14</v>
      </c>
      <c r="K15" s="251">
        <f>ROUNDDOWN(J15*M15,2)</f>
        <v>447259.28</v>
      </c>
      <c r="L15" s="252">
        <f t="shared" si="1"/>
        <v>298172.86</v>
      </c>
      <c r="M15" s="164">
        <v>0.6</v>
      </c>
      <c r="N15" s="253">
        <v>0</v>
      </c>
      <c r="O15" s="253">
        <v>0</v>
      </c>
      <c r="P15" s="263">
        <v>0</v>
      </c>
      <c r="Q15" s="263">
        <v>0</v>
      </c>
      <c r="R15" s="263">
        <f>ROUNDDOWN(295432.14*M15,2)</f>
        <v>177259.28</v>
      </c>
      <c r="S15" s="253">
        <f>450000*M15</f>
        <v>270000</v>
      </c>
      <c r="T15" s="162"/>
      <c r="U15" s="162"/>
      <c r="V15" s="162"/>
      <c r="W15" s="162"/>
      <c r="X15" s="137" t="b">
        <f t="shared" si="2"/>
        <v>1</v>
      </c>
      <c r="Y15" s="179">
        <f t="shared" si="3"/>
        <v>0.6</v>
      </c>
      <c r="Z15" s="180" t="b">
        <f t="shared" si="4"/>
        <v>1</v>
      </c>
      <c r="AA15" s="180" t="b">
        <f t="shared" si="5"/>
        <v>1</v>
      </c>
      <c r="AB15" s="32"/>
    </row>
    <row r="16" spans="1:28" s="172" customFormat="1" ht="36.75" customHeight="1">
      <c r="A16" s="243">
        <v>14</v>
      </c>
      <c r="B16" s="243">
        <v>166</v>
      </c>
      <c r="C16" s="243" t="s">
        <v>61</v>
      </c>
      <c r="D16" s="243" t="s">
        <v>81</v>
      </c>
      <c r="E16" s="218">
        <v>2003000</v>
      </c>
      <c r="F16" s="250" t="s">
        <v>294</v>
      </c>
      <c r="G16" s="246" t="s">
        <v>48</v>
      </c>
      <c r="H16" s="247">
        <v>4.3600000000000003</v>
      </c>
      <c r="I16" s="262" t="s">
        <v>295</v>
      </c>
      <c r="J16" s="252">
        <v>8266820</v>
      </c>
      <c r="K16" s="251">
        <f t="shared" si="0"/>
        <v>4960092</v>
      </c>
      <c r="L16" s="252">
        <f t="shared" si="1"/>
        <v>3306728</v>
      </c>
      <c r="M16" s="164">
        <v>0.6</v>
      </c>
      <c r="N16" s="253">
        <v>0</v>
      </c>
      <c r="O16" s="253">
        <v>0</v>
      </c>
      <c r="P16" s="235">
        <v>0</v>
      </c>
      <c r="Q16" s="263">
        <v>0</v>
      </c>
      <c r="R16" s="253">
        <f>2756820*M16</f>
        <v>1654092</v>
      </c>
      <c r="S16" s="253">
        <f>2755000*M16</f>
        <v>1653000</v>
      </c>
      <c r="T16" s="253">
        <f>2755000*M16</f>
        <v>1653000</v>
      </c>
      <c r="U16" s="162"/>
      <c r="V16" s="162"/>
      <c r="W16" s="162"/>
      <c r="X16" s="137" t="b">
        <f t="shared" si="2"/>
        <v>1</v>
      </c>
      <c r="Y16" s="179">
        <f t="shared" si="3"/>
        <v>0.6</v>
      </c>
      <c r="Z16" s="180" t="b">
        <f t="shared" si="4"/>
        <v>1</v>
      </c>
      <c r="AA16" s="180" t="b">
        <f t="shared" si="5"/>
        <v>1</v>
      </c>
      <c r="AB16" s="171"/>
    </row>
    <row r="17" spans="1:28" s="31" customFormat="1" ht="37.5" customHeight="1">
      <c r="A17" s="243">
        <v>15</v>
      </c>
      <c r="B17" s="243">
        <v>256</v>
      </c>
      <c r="C17" s="243" t="s">
        <v>61</v>
      </c>
      <c r="D17" s="243" t="s">
        <v>47</v>
      </c>
      <c r="E17" s="218">
        <v>2002000</v>
      </c>
      <c r="F17" s="245" t="s">
        <v>448</v>
      </c>
      <c r="G17" s="246" t="s">
        <v>48</v>
      </c>
      <c r="H17" s="247">
        <v>1.165</v>
      </c>
      <c r="I17" s="261" t="s">
        <v>274</v>
      </c>
      <c r="J17" s="252">
        <v>4042500</v>
      </c>
      <c r="K17" s="251">
        <f t="shared" si="0"/>
        <v>2425500</v>
      </c>
      <c r="L17" s="252">
        <f t="shared" si="1"/>
        <v>1617000</v>
      </c>
      <c r="M17" s="164">
        <v>0.6</v>
      </c>
      <c r="N17" s="253">
        <v>0</v>
      </c>
      <c r="O17" s="253">
        <v>0</v>
      </c>
      <c r="P17" s="263">
        <v>0</v>
      </c>
      <c r="Q17" s="263">
        <v>0</v>
      </c>
      <c r="R17" s="263">
        <f>2000000*M17</f>
        <v>1200000</v>
      </c>
      <c r="S17" s="253">
        <f>2042500*M17</f>
        <v>1225500</v>
      </c>
      <c r="T17" s="162"/>
      <c r="U17" s="162"/>
      <c r="V17" s="162"/>
      <c r="W17" s="162"/>
      <c r="X17" s="137" t="b">
        <f t="shared" si="2"/>
        <v>1</v>
      </c>
      <c r="Y17" s="179">
        <f t="shared" si="3"/>
        <v>0.6</v>
      </c>
      <c r="Z17" s="180" t="b">
        <f t="shared" si="4"/>
        <v>1</v>
      </c>
      <c r="AA17" s="180" t="b">
        <f t="shared" si="5"/>
        <v>1</v>
      </c>
      <c r="AB17" s="32"/>
    </row>
    <row r="18" spans="1:28" s="31" customFormat="1" ht="37.5" customHeight="1">
      <c r="A18" s="185">
        <v>16</v>
      </c>
      <c r="B18" s="241">
        <v>176</v>
      </c>
      <c r="C18" s="185" t="s">
        <v>73</v>
      </c>
      <c r="D18" s="185" t="s">
        <v>452</v>
      </c>
      <c r="E18" s="217">
        <v>2008000</v>
      </c>
      <c r="F18" s="210" t="s">
        <v>459</v>
      </c>
      <c r="G18" s="182" t="s">
        <v>48</v>
      </c>
      <c r="H18" s="187">
        <v>2.5</v>
      </c>
      <c r="I18" s="211" t="s">
        <v>256</v>
      </c>
      <c r="J18" s="192">
        <v>8520000</v>
      </c>
      <c r="K18" s="206">
        <f>ROUNDDOWN(J18*M18,2)</f>
        <v>5112000</v>
      </c>
      <c r="L18" s="192">
        <f t="shared" si="1"/>
        <v>3408000</v>
      </c>
      <c r="M18" s="166">
        <v>0.6</v>
      </c>
      <c r="N18" s="199">
        <v>0</v>
      </c>
      <c r="O18" s="199"/>
      <c r="P18" s="162">
        <v>0</v>
      </c>
      <c r="Q18" s="162">
        <v>0</v>
      </c>
      <c r="R18" s="162">
        <f>K18</f>
        <v>5112000</v>
      </c>
      <c r="S18" s="162"/>
      <c r="T18" s="162"/>
      <c r="U18" s="162"/>
      <c r="V18" s="162"/>
      <c r="W18" s="162"/>
      <c r="X18" s="137" t="b">
        <f t="shared" si="2"/>
        <v>1</v>
      </c>
      <c r="Y18" s="179">
        <f t="shared" si="3"/>
        <v>0.6</v>
      </c>
      <c r="Z18" s="180" t="b">
        <f t="shared" si="4"/>
        <v>1</v>
      </c>
      <c r="AA18" s="180" t="b">
        <f t="shared" si="5"/>
        <v>1</v>
      </c>
      <c r="AB18" s="32"/>
    </row>
    <row r="19" spans="1:28" s="31" customFormat="1" ht="37.5" customHeight="1">
      <c r="A19" s="243">
        <v>17</v>
      </c>
      <c r="B19" s="243">
        <v>262</v>
      </c>
      <c r="C19" s="243" t="s">
        <v>61</v>
      </c>
      <c r="D19" s="243" t="s">
        <v>47</v>
      </c>
      <c r="E19" s="218">
        <v>2002000</v>
      </c>
      <c r="F19" s="245" t="s">
        <v>449</v>
      </c>
      <c r="G19" s="246" t="s">
        <v>49</v>
      </c>
      <c r="H19" s="247">
        <v>1.0509999999999999</v>
      </c>
      <c r="I19" s="261" t="s">
        <v>274</v>
      </c>
      <c r="J19" s="252">
        <v>4244500</v>
      </c>
      <c r="K19" s="251">
        <f t="shared" si="0"/>
        <v>2546700</v>
      </c>
      <c r="L19" s="252">
        <f t="shared" si="1"/>
        <v>1697800</v>
      </c>
      <c r="M19" s="164">
        <v>0.6</v>
      </c>
      <c r="N19" s="253">
        <v>0</v>
      </c>
      <c r="O19" s="253">
        <v>0</v>
      </c>
      <c r="P19" s="263">
        <v>0</v>
      </c>
      <c r="Q19" s="263">
        <v>0</v>
      </c>
      <c r="R19" s="253">
        <f>1500000*M19</f>
        <v>900000</v>
      </c>
      <c r="S19" s="253">
        <f>2744500*M19</f>
        <v>1646700</v>
      </c>
      <c r="T19" s="162"/>
      <c r="U19" s="162"/>
      <c r="V19" s="162"/>
      <c r="W19" s="162"/>
      <c r="X19" s="137" t="b">
        <f t="shared" si="2"/>
        <v>1</v>
      </c>
      <c r="Y19" s="179">
        <f t="shared" si="3"/>
        <v>0.6</v>
      </c>
      <c r="Z19" s="180" t="b">
        <f t="shared" si="4"/>
        <v>1</v>
      </c>
      <c r="AA19" s="180" t="b">
        <f t="shared" si="5"/>
        <v>1</v>
      </c>
      <c r="AB19" s="32"/>
    </row>
    <row r="20" spans="1:28" s="31" customFormat="1" ht="37.5" customHeight="1">
      <c r="A20" s="185">
        <v>18</v>
      </c>
      <c r="B20" s="241">
        <v>248</v>
      </c>
      <c r="C20" s="185" t="s">
        <v>73</v>
      </c>
      <c r="D20" s="185" t="s">
        <v>47</v>
      </c>
      <c r="E20" s="217">
        <v>2002000</v>
      </c>
      <c r="F20" s="210" t="s">
        <v>445</v>
      </c>
      <c r="G20" s="182" t="s">
        <v>48</v>
      </c>
      <c r="H20" s="187">
        <v>0.73399999999999999</v>
      </c>
      <c r="I20" s="211" t="s">
        <v>287</v>
      </c>
      <c r="J20" s="192">
        <v>2224500</v>
      </c>
      <c r="K20" s="206">
        <f t="shared" si="0"/>
        <v>1334700</v>
      </c>
      <c r="L20" s="192">
        <f t="shared" si="1"/>
        <v>889800</v>
      </c>
      <c r="M20" s="166">
        <v>0.6</v>
      </c>
      <c r="N20" s="199">
        <v>0</v>
      </c>
      <c r="O20" s="199">
        <v>0</v>
      </c>
      <c r="P20" s="162">
        <v>0</v>
      </c>
      <c r="Q20" s="162">
        <v>0</v>
      </c>
      <c r="R20" s="162">
        <f>K20</f>
        <v>1334700</v>
      </c>
      <c r="S20" s="162"/>
      <c r="T20" s="162"/>
      <c r="U20" s="162"/>
      <c r="V20" s="162"/>
      <c r="W20" s="162"/>
      <c r="X20" s="137" t="b">
        <f t="shared" si="2"/>
        <v>1</v>
      </c>
      <c r="Y20" s="179">
        <f t="shared" si="3"/>
        <v>0.6</v>
      </c>
      <c r="Z20" s="180" t="b">
        <f t="shared" si="4"/>
        <v>1</v>
      </c>
      <c r="AA20" s="180" t="b">
        <f t="shared" si="5"/>
        <v>1</v>
      </c>
      <c r="AB20" s="32"/>
    </row>
    <row r="21" spans="1:28" s="31" customFormat="1" ht="37.5" customHeight="1">
      <c r="A21" s="243">
        <v>19</v>
      </c>
      <c r="B21" s="243">
        <v>99</v>
      </c>
      <c r="C21" s="243" t="s">
        <v>61</v>
      </c>
      <c r="D21" s="243" t="s">
        <v>72</v>
      </c>
      <c r="E21" s="218">
        <v>2007000</v>
      </c>
      <c r="F21" s="245" t="s">
        <v>437</v>
      </c>
      <c r="G21" s="246" t="s">
        <v>49</v>
      </c>
      <c r="H21" s="247">
        <v>0.52</v>
      </c>
      <c r="I21" s="244" t="s">
        <v>438</v>
      </c>
      <c r="J21" s="252">
        <v>3872000</v>
      </c>
      <c r="K21" s="251">
        <f>ROUNDDOWN(J21*M21,2)</f>
        <v>2323200</v>
      </c>
      <c r="L21" s="252">
        <f t="shared" si="1"/>
        <v>1548800</v>
      </c>
      <c r="M21" s="164">
        <v>0.6</v>
      </c>
      <c r="N21" s="253">
        <v>0</v>
      </c>
      <c r="O21" s="253">
        <v>0</v>
      </c>
      <c r="P21" s="263">
        <v>0</v>
      </c>
      <c r="Q21" s="263">
        <v>0</v>
      </c>
      <c r="R21" s="253">
        <f>2000000*M21</f>
        <v>1200000</v>
      </c>
      <c r="S21" s="253">
        <f>1872000*M21</f>
        <v>1123200</v>
      </c>
      <c r="T21" s="162"/>
      <c r="U21" s="162"/>
      <c r="V21" s="162"/>
      <c r="W21" s="162"/>
      <c r="X21" s="137" t="b">
        <f t="shared" si="2"/>
        <v>1</v>
      </c>
      <c r="Y21" s="179">
        <f t="shared" si="3"/>
        <v>0.6</v>
      </c>
      <c r="Z21" s="180" t="b">
        <f t="shared" si="4"/>
        <v>1</v>
      </c>
      <c r="AA21" s="180" t="b">
        <f t="shared" si="5"/>
        <v>1</v>
      </c>
      <c r="AB21" s="32"/>
    </row>
    <row r="22" spans="1:28" s="31" customFormat="1" ht="37.5" customHeight="1">
      <c r="A22" s="243">
        <v>20</v>
      </c>
      <c r="B22" s="243">
        <v>246</v>
      </c>
      <c r="C22" s="243" t="s">
        <v>61</v>
      </c>
      <c r="D22" s="243" t="s">
        <v>47</v>
      </c>
      <c r="E22" s="218">
        <v>2002000</v>
      </c>
      <c r="F22" s="245" t="s">
        <v>444</v>
      </c>
      <c r="G22" s="246" t="s">
        <v>48</v>
      </c>
      <c r="H22" s="247">
        <v>0.63100000000000001</v>
      </c>
      <c r="I22" s="261" t="s">
        <v>274</v>
      </c>
      <c r="J22" s="252">
        <v>4048000</v>
      </c>
      <c r="K22" s="251">
        <f t="shared" si="0"/>
        <v>2428800</v>
      </c>
      <c r="L22" s="252">
        <f t="shared" si="1"/>
        <v>1619200</v>
      </c>
      <c r="M22" s="164">
        <v>0.6</v>
      </c>
      <c r="N22" s="253">
        <v>0</v>
      </c>
      <c r="O22" s="253">
        <v>0</v>
      </c>
      <c r="P22" s="263">
        <v>0</v>
      </c>
      <c r="Q22" s="263">
        <v>0</v>
      </c>
      <c r="R22" s="253">
        <f>1000000*M22</f>
        <v>600000</v>
      </c>
      <c r="S22" s="253">
        <f>3048000*M22</f>
        <v>1828800</v>
      </c>
      <c r="T22" s="162"/>
      <c r="U22" s="162"/>
      <c r="V22" s="162"/>
      <c r="W22" s="162"/>
      <c r="X22" s="137" t="b">
        <f t="shared" si="2"/>
        <v>1</v>
      </c>
      <c r="Y22" s="179">
        <f t="shared" si="3"/>
        <v>0.6</v>
      </c>
      <c r="Z22" s="180" t="b">
        <f t="shared" si="4"/>
        <v>1</v>
      </c>
      <c r="AA22" s="180" t="b">
        <f t="shared" si="5"/>
        <v>1</v>
      </c>
      <c r="AB22" s="32"/>
    </row>
    <row r="23" spans="1:28" s="31" customFormat="1" ht="37.5" customHeight="1">
      <c r="A23" s="243">
        <v>21</v>
      </c>
      <c r="B23" s="243">
        <v>270</v>
      </c>
      <c r="C23" s="243" t="s">
        <v>61</v>
      </c>
      <c r="D23" s="243" t="s">
        <v>47</v>
      </c>
      <c r="E23" s="218">
        <v>2002000</v>
      </c>
      <c r="F23" s="245" t="s">
        <v>451</v>
      </c>
      <c r="G23" s="246" t="s">
        <v>48</v>
      </c>
      <c r="H23" s="247">
        <v>0.56499999999999995</v>
      </c>
      <c r="I23" s="261" t="s">
        <v>274</v>
      </c>
      <c r="J23" s="252">
        <v>2627500</v>
      </c>
      <c r="K23" s="251">
        <f t="shared" si="0"/>
        <v>1576500</v>
      </c>
      <c r="L23" s="252">
        <f t="shared" si="1"/>
        <v>1051000</v>
      </c>
      <c r="M23" s="164">
        <v>0.6</v>
      </c>
      <c r="N23" s="253">
        <v>0</v>
      </c>
      <c r="O23" s="253">
        <v>0</v>
      </c>
      <c r="P23" s="263">
        <v>0</v>
      </c>
      <c r="Q23" s="263">
        <v>0</v>
      </c>
      <c r="R23" s="263">
        <f>1000000*M23</f>
        <v>600000</v>
      </c>
      <c r="S23" s="253">
        <f>1627500*M23</f>
        <v>976500</v>
      </c>
      <c r="T23" s="162"/>
      <c r="U23" s="162"/>
      <c r="V23" s="162"/>
      <c r="W23" s="162"/>
      <c r="X23" s="137" t="b">
        <f t="shared" si="2"/>
        <v>1</v>
      </c>
      <c r="Y23" s="179">
        <f t="shared" si="3"/>
        <v>0.6</v>
      </c>
      <c r="Z23" s="180" t="b">
        <f t="shared" si="4"/>
        <v>1</v>
      </c>
      <c r="AA23" s="180" t="b">
        <f t="shared" si="5"/>
        <v>1</v>
      </c>
      <c r="AB23" s="32"/>
    </row>
    <row r="24" spans="1:28" s="31" customFormat="1" ht="37.5" customHeight="1">
      <c r="A24" s="185">
        <v>22</v>
      </c>
      <c r="B24" s="185">
        <v>103</v>
      </c>
      <c r="C24" s="185" t="s">
        <v>73</v>
      </c>
      <c r="D24" s="185" t="s">
        <v>72</v>
      </c>
      <c r="E24" s="217">
        <v>2007000</v>
      </c>
      <c r="F24" s="210" t="s">
        <v>440</v>
      </c>
      <c r="G24" s="182" t="s">
        <v>63</v>
      </c>
      <c r="H24" s="187">
        <v>0.49</v>
      </c>
      <c r="I24" s="211" t="s">
        <v>334</v>
      </c>
      <c r="J24" s="192">
        <v>1542000</v>
      </c>
      <c r="K24" s="206">
        <f t="shared" si="0"/>
        <v>925200</v>
      </c>
      <c r="L24" s="192">
        <f t="shared" si="1"/>
        <v>616800</v>
      </c>
      <c r="M24" s="166">
        <v>0.6</v>
      </c>
      <c r="N24" s="199">
        <v>0</v>
      </c>
      <c r="O24" s="199">
        <v>0</v>
      </c>
      <c r="P24" s="162">
        <v>0</v>
      </c>
      <c r="Q24" s="162">
        <v>0</v>
      </c>
      <c r="R24" s="162">
        <f>K24</f>
        <v>925200</v>
      </c>
      <c r="S24" s="162"/>
      <c r="T24" s="162"/>
      <c r="U24" s="162"/>
      <c r="V24" s="162"/>
      <c r="W24" s="162"/>
      <c r="X24" s="137" t="b">
        <f t="shared" si="2"/>
        <v>1</v>
      </c>
      <c r="Y24" s="179">
        <f t="shared" si="3"/>
        <v>0.6</v>
      </c>
      <c r="Z24" s="180" t="b">
        <f t="shared" si="4"/>
        <v>1</v>
      </c>
      <c r="AA24" s="180" t="b">
        <f t="shared" si="5"/>
        <v>1</v>
      </c>
      <c r="AB24" s="32"/>
    </row>
    <row r="25" spans="1:28" s="31" customFormat="1" ht="37.5" customHeight="1">
      <c r="A25" s="185">
        <v>23</v>
      </c>
      <c r="B25" s="241">
        <v>251</v>
      </c>
      <c r="C25" s="185" t="s">
        <v>73</v>
      </c>
      <c r="D25" s="185" t="s">
        <v>47</v>
      </c>
      <c r="E25" s="217">
        <v>2002000</v>
      </c>
      <c r="F25" s="210" t="s">
        <v>446</v>
      </c>
      <c r="G25" s="182" t="s">
        <v>48</v>
      </c>
      <c r="H25" s="187">
        <v>0.33100000000000002</v>
      </c>
      <c r="I25" s="211" t="s">
        <v>287</v>
      </c>
      <c r="J25" s="192">
        <v>2022500</v>
      </c>
      <c r="K25" s="206">
        <f t="shared" si="0"/>
        <v>1213500</v>
      </c>
      <c r="L25" s="192">
        <f t="shared" si="1"/>
        <v>809000</v>
      </c>
      <c r="M25" s="166">
        <v>0.6</v>
      </c>
      <c r="N25" s="199">
        <v>0</v>
      </c>
      <c r="O25" s="199">
        <v>0</v>
      </c>
      <c r="P25" s="162">
        <v>0</v>
      </c>
      <c r="Q25" s="162">
        <v>0</v>
      </c>
      <c r="R25" s="162">
        <f>K25</f>
        <v>1213500</v>
      </c>
      <c r="S25" s="162"/>
      <c r="T25" s="162"/>
      <c r="U25" s="162"/>
      <c r="V25" s="162"/>
      <c r="W25" s="162"/>
      <c r="X25" s="137" t="b">
        <f t="shared" si="2"/>
        <v>1</v>
      </c>
      <c r="Y25" s="179">
        <f t="shared" si="3"/>
        <v>0.6</v>
      </c>
      <c r="Z25" s="180" t="b">
        <f t="shared" si="4"/>
        <v>1</v>
      </c>
      <c r="AA25" s="180" t="b">
        <f t="shared" si="5"/>
        <v>1</v>
      </c>
      <c r="AB25" s="32"/>
    </row>
    <row r="26" spans="1:28" s="304" customFormat="1" ht="37.5" customHeight="1">
      <c r="A26" s="185">
        <v>24</v>
      </c>
      <c r="B26" s="241">
        <v>10</v>
      </c>
      <c r="C26" s="185" t="s">
        <v>73</v>
      </c>
      <c r="D26" s="241" t="s">
        <v>130</v>
      </c>
      <c r="E26" s="217">
        <v>2005000</v>
      </c>
      <c r="F26" s="229" t="s">
        <v>466</v>
      </c>
      <c r="G26" s="241" t="s">
        <v>49</v>
      </c>
      <c r="H26" s="231">
        <v>0.84</v>
      </c>
      <c r="I26" s="232" t="s">
        <v>256</v>
      </c>
      <c r="J26" s="227">
        <v>4225157.04</v>
      </c>
      <c r="K26" s="206">
        <f t="shared" si="0"/>
        <v>2535094.2200000002</v>
      </c>
      <c r="L26" s="192">
        <f t="shared" si="1"/>
        <v>1690062.8199999998</v>
      </c>
      <c r="M26" s="239">
        <v>0.6</v>
      </c>
      <c r="N26" s="199">
        <v>0</v>
      </c>
      <c r="O26" s="199">
        <v>0</v>
      </c>
      <c r="P26" s="162">
        <v>0</v>
      </c>
      <c r="Q26" s="162">
        <v>0</v>
      </c>
      <c r="R26" s="162">
        <f>K26</f>
        <v>2535094.2200000002</v>
      </c>
      <c r="S26" s="162"/>
      <c r="T26" s="162"/>
      <c r="U26" s="162"/>
      <c r="V26" s="162"/>
      <c r="W26" s="162"/>
      <c r="X26" s="300" t="b">
        <f t="shared" si="2"/>
        <v>1</v>
      </c>
      <c r="Y26" s="301">
        <f t="shared" si="3"/>
        <v>0.6</v>
      </c>
      <c r="Z26" s="302" t="b">
        <f t="shared" si="4"/>
        <v>1</v>
      </c>
      <c r="AA26" s="302" t="b">
        <f t="shared" si="5"/>
        <v>1</v>
      </c>
      <c r="AB26" s="303"/>
    </row>
    <row r="27" spans="1:28" s="304" customFormat="1" ht="37.5" customHeight="1">
      <c r="A27" s="185">
        <v>25</v>
      </c>
      <c r="B27" s="185">
        <v>253</v>
      </c>
      <c r="C27" s="185" t="s">
        <v>73</v>
      </c>
      <c r="D27" s="185" t="s">
        <v>47</v>
      </c>
      <c r="E27" s="217">
        <v>2002000</v>
      </c>
      <c r="F27" s="186" t="s">
        <v>301</v>
      </c>
      <c r="G27" s="182" t="s">
        <v>48</v>
      </c>
      <c r="H27" s="187">
        <v>1.663</v>
      </c>
      <c r="I27" s="188" t="s">
        <v>287</v>
      </c>
      <c r="J27" s="192">
        <v>8082500</v>
      </c>
      <c r="K27" s="206">
        <f>ROUNDDOWN(J27*M27,2)</f>
        <v>4849500</v>
      </c>
      <c r="L27" s="192">
        <f t="shared" si="1"/>
        <v>3233000</v>
      </c>
      <c r="M27" s="166">
        <v>0.6</v>
      </c>
      <c r="N27" s="199">
        <v>0</v>
      </c>
      <c r="O27" s="199">
        <v>0</v>
      </c>
      <c r="P27" s="215">
        <v>0</v>
      </c>
      <c r="Q27" s="162">
        <v>0</v>
      </c>
      <c r="R27" s="162">
        <f>K27</f>
        <v>4849500</v>
      </c>
      <c r="S27" s="162"/>
      <c r="T27" s="162"/>
      <c r="U27" s="162"/>
      <c r="V27" s="162"/>
      <c r="W27" s="162"/>
      <c r="X27" s="300" t="b">
        <f t="shared" ref="X27:X36" si="7">K27=SUM(N27:W27)</f>
        <v>1</v>
      </c>
      <c r="Y27" s="301">
        <f t="shared" ref="Y27:Y35" si="8">ROUND(K27/J27,4)</f>
        <v>0.6</v>
      </c>
      <c r="Z27" s="302" t="b">
        <f t="shared" ref="Z27:Z36" si="9">Y27=M27</f>
        <v>1</v>
      </c>
      <c r="AA27" s="302" t="b">
        <f t="shared" ref="AA27:AA36" si="10">J27=K27+L27</f>
        <v>1</v>
      </c>
      <c r="AB27" s="303"/>
    </row>
    <row r="28" spans="1:28" s="304" customFormat="1" ht="37.5" customHeight="1">
      <c r="A28" s="185">
        <v>26</v>
      </c>
      <c r="B28" s="241">
        <v>17</v>
      </c>
      <c r="C28" s="185" t="s">
        <v>73</v>
      </c>
      <c r="D28" s="241" t="s">
        <v>77</v>
      </c>
      <c r="E28" s="274" t="s">
        <v>503</v>
      </c>
      <c r="F28" s="229" t="s">
        <v>534</v>
      </c>
      <c r="G28" s="182" t="s">
        <v>48</v>
      </c>
      <c r="H28" s="187">
        <v>3.8650000000000002</v>
      </c>
      <c r="I28" s="232" t="s">
        <v>258</v>
      </c>
      <c r="J28" s="182">
        <v>16495781.880000001</v>
      </c>
      <c r="K28" s="206">
        <f t="shared" ref="K28:K35" si="11">ROUNDDOWN(J28*M28,2)</f>
        <v>9897469.1199999992</v>
      </c>
      <c r="L28" s="192">
        <f t="shared" ref="L28:L36" si="12">J28-K28</f>
        <v>6598312.7600000016</v>
      </c>
      <c r="M28" s="166">
        <v>0.6</v>
      </c>
      <c r="N28" s="199">
        <v>0</v>
      </c>
      <c r="O28" s="199">
        <v>0</v>
      </c>
      <c r="P28" s="215">
        <v>0</v>
      </c>
      <c r="Q28" s="162">
        <v>0</v>
      </c>
      <c r="R28" s="162">
        <f t="shared" ref="R28:R35" si="13">K28</f>
        <v>9897469.1199999992</v>
      </c>
      <c r="S28" s="162"/>
      <c r="T28" s="162"/>
      <c r="U28" s="162"/>
      <c r="V28" s="162"/>
      <c r="W28" s="162"/>
      <c r="X28" s="300" t="b">
        <f t="shared" si="7"/>
        <v>1</v>
      </c>
      <c r="Y28" s="301">
        <f t="shared" si="8"/>
        <v>0.6</v>
      </c>
      <c r="Z28" s="302" t="b">
        <f t="shared" si="9"/>
        <v>1</v>
      </c>
      <c r="AA28" s="302" t="b">
        <f t="shared" si="10"/>
        <v>1</v>
      </c>
      <c r="AB28" s="303"/>
    </row>
    <row r="29" spans="1:28" s="304" customFormat="1" ht="37.5" customHeight="1">
      <c r="A29" s="185">
        <v>27</v>
      </c>
      <c r="B29" s="241">
        <v>162</v>
      </c>
      <c r="C29" s="185" t="s">
        <v>73</v>
      </c>
      <c r="D29" s="185" t="s">
        <v>81</v>
      </c>
      <c r="E29" s="217">
        <v>2003000</v>
      </c>
      <c r="F29" s="210" t="s">
        <v>535</v>
      </c>
      <c r="G29" s="182" t="s">
        <v>49</v>
      </c>
      <c r="H29" s="187">
        <v>0.186</v>
      </c>
      <c r="I29" s="211" t="s">
        <v>269</v>
      </c>
      <c r="J29" s="182">
        <v>1259724.23</v>
      </c>
      <c r="K29" s="206">
        <f t="shared" si="11"/>
        <v>755834.53</v>
      </c>
      <c r="L29" s="192">
        <f t="shared" si="12"/>
        <v>503889.69999999995</v>
      </c>
      <c r="M29" s="166">
        <v>0.6</v>
      </c>
      <c r="N29" s="199">
        <v>0</v>
      </c>
      <c r="O29" s="199">
        <v>0</v>
      </c>
      <c r="P29" s="215">
        <v>0</v>
      </c>
      <c r="Q29" s="162">
        <v>0</v>
      </c>
      <c r="R29" s="162">
        <f t="shared" si="13"/>
        <v>755834.53</v>
      </c>
      <c r="S29" s="162"/>
      <c r="T29" s="162"/>
      <c r="U29" s="162"/>
      <c r="V29" s="162"/>
      <c r="W29" s="162"/>
      <c r="X29" s="300" t="b">
        <f t="shared" si="7"/>
        <v>1</v>
      </c>
      <c r="Y29" s="301">
        <f t="shared" si="8"/>
        <v>0.6</v>
      </c>
      <c r="Z29" s="302" t="b">
        <f t="shared" si="9"/>
        <v>1</v>
      </c>
      <c r="AA29" s="302" t="b">
        <f t="shared" si="10"/>
        <v>1</v>
      </c>
      <c r="AB29" s="303"/>
    </row>
    <row r="30" spans="1:28" s="304" customFormat="1" ht="37.5" customHeight="1">
      <c r="A30" s="185">
        <v>28</v>
      </c>
      <c r="B30" s="241">
        <v>255</v>
      </c>
      <c r="C30" s="185" t="s">
        <v>73</v>
      </c>
      <c r="D30" s="185" t="s">
        <v>47</v>
      </c>
      <c r="E30" s="217">
        <v>2002000</v>
      </c>
      <c r="F30" s="210" t="s">
        <v>536</v>
      </c>
      <c r="G30" s="182" t="s">
        <v>49</v>
      </c>
      <c r="H30" s="187">
        <v>1.4</v>
      </c>
      <c r="I30" s="211" t="s">
        <v>287</v>
      </c>
      <c r="J30" s="182">
        <v>6002500</v>
      </c>
      <c r="K30" s="206">
        <f t="shared" si="11"/>
        <v>3601500</v>
      </c>
      <c r="L30" s="192">
        <f t="shared" si="12"/>
        <v>2401000</v>
      </c>
      <c r="M30" s="166">
        <v>0.6</v>
      </c>
      <c r="N30" s="199">
        <v>0</v>
      </c>
      <c r="O30" s="199">
        <v>0</v>
      </c>
      <c r="P30" s="215">
        <v>0</v>
      </c>
      <c r="Q30" s="162">
        <v>0</v>
      </c>
      <c r="R30" s="162">
        <f t="shared" si="13"/>
        <v>3601500</v>
      </c>
      <c r="S30" s="162"/>
      <c r="T30" s="162"/>
      <c r="U30" s="162"/>
      <c r="V30" s="162"/>
      <c r="W30" s="162"/>
      <c r="X30" s="300" t="b">
        <f t="shared" si="7"/>
        <v>1</v>
      </c>
      <c r="Y30" s="301">
        <f t="shared" si="8"/>
        <v>0.6</v>
      </c>
      <c r="Z30" s="302" t="b">
        <f t="shared" si="9"/>
        <v>1</v>
      </c>
      <c r="AA30" s="302" t="b">
        <f t="shared" si="10"/>
        <v>1</v>
      </c>
      <c r="AB30" s="303"/>
    </row>
    <row r="31" spans="1:28" s="304" customFormat="1" ht="37.5" customHeight="1">
      <c r="A31" s="185">
        <v>29</v>
      </c>
      <c r="B31" s="185">
        <v>163</v>
      </c>
      <c r="C31" s="185" t="s">
        <v>73</v>
      </c>
      <c r="D31" s="185" t="s">
        <v>81</v>
      </c>
      <c r="E31" s="217">
        <v>2003000</v>
      </c>
      <c r="F31" s="229" t="s">
        <v>537</v>
      </c>
      <c r="G31" s="182" t="s">
        <v>49</v>
      </c>
      <c r="H31" s="187">
        <v>1.3180000000000001</v>
      </c>
      <c r="I31" s="211" t="s">
        <v>458</v>
      </c>
      <c r="J31" s="182">
        <v>2769390.26</v>
      </c>
      <c r="K31" s="206">
        <f t="shared" si="11"/>
        <v>1661634.15</v>
      </c>
      <c r="L31" s="192">
        <f t="shared" si="12"/>
        <v>1107756.1099999999</v>
      </c>
      <c r="M31" s="166">
        <v>0.6</v>
      </c>
      <c r="N31" s="199">
        <v>0</v>
      </c>
      <c r="O31" s="199">
        <v>0</v>
      </c>
      <c r="P31" s="215">
        <v>0</v>
      </c>
      <c r="Q31" s="162">
        <v>0</v>
      </c>
      <c r="R31" s="162">
        <f t="shared" si="13"/>
        <v>1661634.15</v>
      </c>
      <c r="S31" s="162"/>
      <c r="T31" s="162"/>
      <c r="U31" s="162"/>
      <c r="V31" s="162"/>
      <c r="W31" s="162"/>
      <c r="X31" s="300" t="b">
        <f t="shared" si="7"/>
        <v>1</v>
      </c>
      <c r="Y31" s="301">
        <f t="shared" si="8"/>
        <v>0.6</v>
      </c>
      <c r="Z31" s="302" t="b">
        <f t="shared" si="9"/>
        <v>1</v>
      </c>
      <c r="AA31" s="302" t="b">
        <f t="shared" si="10"/>
        <v>1</v>
      </c>
      <c r="AB31" s="303"/>
    </row>
    <row r="32" spans="1:28" s="304" customFormat="1" ht="37.5" customHeight="1">
      <c r="A32" s="185">
        <v>30</v>
      </c>
      <c r="B32" s="241">
        <v>265</v>
      </c>
      <c r="C32" s="185" t="s">
        <v>73</v>
      </c>
      <c r="D32" s="185" t="s">
        <v>47</v>
      </c>
      <c r="E32" s="217">
        <v>2002000</v>
      </c>
      <c r="F32" s="210" t="s">
        <v>538</v>
      </c>
      <c r="G32" s="182" t="s">
        <v>48</v>
      </c>
      <c r="H32" s="187">
        <v>0.375</v>
      </c>
      <c r="I32" s="211" t="s">
        <v>287</v>
      </c>
      <c r="J32" s="182">
        <v>2918549.7</v>
      </c>
      <c r="K32" s="206">
        <f t="shared" si="11"/>
        <v>1751129.82</v>
      </c>
      <c r="L32" s="192">
        <f t="shared" si="12"/>
        <v>1167419.8800000001</v>
      </c>
      <c r="M32" s="166">
        <v>0.6</v>
      </c>
      <c r="N32" s="199">
        <v>0</v>
      </c>
      <c r="O32" s="199">
        <v>0</v>
      </c>
      <c r="P32" s="215">
        <v>0</v>
      </c>
      <c r="Q32" s="162">
        <v>0</v>
      </c>
      <c r="R32" s="162">
        <f t="shared" si="13"/>
        <v>1751129.82</v>
      </c>
      <c r="S32" s="162"/>
      <c r="T32" s="162"/>
      <c r="U32" s="162"/>
      <c r="V32" s="162"/>
      <c r="W32" s="162"/>
      <c r="X32" s="300" t="b">
        <f t="shared" si="7"/>
        <v>1</v>
      </c>
      <c r="Y32" s="301">
        <f t="shared" si="8"/>
        <v>0.6</v>
      </c>
      <c r="Z32" s="302" t="b">
        <f t="shared" si="9"/>
        <v>1</v>
      </c>
      <c r="AA32" s="302" t="b">
        <f t="shared" si="10"/>
        <v>1</v>
      </c>
      <c r="AB32" s="303"/>
    </row>
    <row r="33" spans="1:28" s="304" customFormat="1" ht="37.5" customHeight="1">
      <c r="A33" s="185">
        <v>31</v>
      </c>
      <c r="B33" s="241">
        <v>19</v>
      </c>
      <c r="C33" s="185" t="s">
        <v>73</v>
      </c>
      <c r="D33" s="241" t="s">
        <v>148</v>
      </c>
      <c r="E33" s="217" t="s">
        <v>507</v>
      </c>
      <c r="F33" s="229" t="s">
        <v>539</v>
      </c>
      <c r="G33" s="230" t="s">
        <v>63</v>
      </c>
      <c r="H33" s="231">
        <v>0.999</v>
      </c>
      <c r="I33" s="232" t="s">
        <v>259</v>
      </c>
      <c r="J33" s="230">
        <v>5405000</v>
      </c>
      <c r="K33" s="206">
        <f t="shared" si="11"/>
        <v>3243000</v>
      </c>
      <c r="L33" s="192">
        <f t="shared" si="12"/>
        <v>2162000</v>
      </c>
      <c r="M33" s="166">
        <v>0.6</v>
      </c>
      <c r="N33" s="199">
        <v>0</v>
      </c>
      <c r="O33" s="199">
        <v>0</v>
      </c>
      <c r="P33" s="215">
        <v>0</v>
      </c>
      <c r="Q33" s="162">
        <v>0</v>
      </c>
      <c r="R33" s="162">
        <f t="shared" si="13"/>
        <v>3243000</v>
      </c>
      <c r="S33" s="162"/>
      <c r="T33" s="162"/>
      <c r="U33" s="162"/>
      <c r="V33" s="162"/>
      <c r="W33" s="162"/>
      <c r="X33" s="300" t="b">
        <f t="shared" si="7"/>
        <v>1</v>
      </c>
      <c r="Y33" s="301">
        <f t="shared" si="8"/>
        <v>0.6</v>
      </c>
      <c r="Z33" s="302" t="b">
        <f t="shared" si="9"/>
        <v>1</v>
      </c>
      <c r="AA33" s="302" t="b">
        <f t="shared" si="10"/>
        <v>1</v>
      </c>
      <c r="AB33" s="303"/>
    </row>
    <row r="34" spans="1:28" s="304" customFormat="1" ht="37.5" customHeight="1">
      <c r="A34" s="185">
        <v>32</v>
      </c>
      <c r="B34" s="241">
        <v>175</v>
      </c>
      <c r="C34" s="185" t="s">
        <v>73</v>
      </c>
      <c r="D34" s="185" t="s">
        <v>452</v>
      </c>
      <c r="E34" s="217" t="s">
        <v>504</v>
      </c>
      <c r="F34" s="229" t="s">
        <v>541</v>
      </c>
      <c r="G34" s="182" t="s">
        <v>48</v>
      </c>
      <c r="H34" s="187">
        <v>2.5</v>
      </c>
      <c r="I34" s="211" t="s">
        <v>256</v>
      </c>
      <c r="J34" s="182">
        <v>4467000</v>
      </c>
      <c r="K34" s="206">
        <f t="shared" si="11"/>
        <v>2680200</v>
      </c>
      <c r="L34" s="192">
        <f t="shared" si="12"/>
        <v>1786800</v>
      </c>
      <c r="M34" s="166">
        <v>0.6</v>
      </c>
      <c r="N34" s="199">
        <v>0</v>
      </c>
      <c r="O34" s="199">
        <v>0</v>
      </c>
      <c r="P34" s="215">
        <v>0</v>
      </c>
      <c r="Q34" s="162">
        <v>0</v>
      </c>
      <c r="R34" s="162">
        <f t="shared" si="13"/>
        <v>2680200</v>
      </c>
      <c r="S34" s="162"/>
      <c r="T34" s="162"/>
      <c r="U34" s="162"/>
      <c r="V34" s="162"/>
      <c r="W34" s="162"/>
      <c r="X34" s="300" t="b">
        <f t="shared" si="7"/>
        <v>1</v>
      </c>
      <c r="Y34" s="301">
        <f t="shared" si="8"/>
        <v>0.6</v>
      </c>
      <c r="Z34" s="302" t="b">
        <f t="shared" si="9"/>
        <v>1</v>
      </c>
      <c r="AA34" s="302" t="b">
        <f t="shared" si="10"/>
        <v>1</v>
      </c>
      <c r="AB34" s="303"/>
    </row>
    <row r="35" spans="1:28" s="304" customFormat="1" ht="37.5" customHeight="1">
      <c r="A35" s="185">
        <v>33</v>
      </c>
      <c r="B35" s="241">
        <v>247</v>
      </c>
      <c r="C35" s="185" t="s">
        <v>73</v>
      </c>
      <c r="D35" s="185" t="s">
        <v>47</v>
      </c>
      <c r="E35" s="217">
        <v>2002000</v>
      </c>
      <c r="F35" s="210" t="s">
        <v>542</v>
      </c>
      <c r="G35" s="182" t="s">
        <v>63</v>
      </c>
      <c r="H35" s="187">
        <v>0.42499999999999999</v>
      </c>
      <c r="I35" s="211" t="s">
        <v>287</v>
      </c>
      <c r="J35" s="182">
        <v>1802500</v>
      </c>
      <c r="K35" s="206">
        <f t="shared" si="11"/>
        <v>1081500</v>
      </c>
      <c r="L35" s="192">
        <f t="shared" si="12"/>
        <v>721000</v>
      </c>
      <c r="M35" s="166">
        <v>0.6</v>
      </c>
      <c r="N35" s="199">
        <v>0</v>
      </c>
      <c r="O35" s="199">
        <v>0</v>
      </c>
      <c r="P35" s="215">
        <v>0</v>
      </c>
      <c r="Q35" s="162">
        <v>0</v>
      </c>
      <c r="R35" s="162">
        <f t="shared" si="13"/>
        <v>1081500</v>
      </c>
      <c r="S35" s="162"/>
      <c r="T35" s="162"/>
      <c r="U35" s="162"/>
      <c r="V35" s="162"/>
      <c r="W35" s="162"/>
      <c r="X35" s="300" t="b">
        <f t="shared" si="7"/>
        <v>1</v>
      </c>
      <c r="Y35" s="301">
        <f t="shared" si="8"/>
        <v>0.6</v>
      </c>
      <c r="Z35" s="302" t="b">
        <f t="shared" si="9"/>
        <v>1</v>
      </c>
      <c r="AA35" s="302" t="b">
        <f t="shared" si="10"/>
        <v>1</v>
      </c>
      <c r="AB35" s="303"/>
    </row>
    <row r="36" spans="1:28" s="304" customFormat="1" ht="37.5" customHeight="1">
      <c r="A36" s="243" t="s">
        <v>571</v>
      </c>
      <c r="B36" s="185">
        <v>295</v>
      </c>
      <c r="C36" s="185" t="s">
        <v>73</v>
      </c>
      <c r="D36" s="185" t="s">
        <v>118</v>
      </c>
      <c r="E36" s="217" t="s">
        <v>506</v>
      </c>
      <c r="F36" s="210" t="s">
        <v>543</v>
      </c>
      <c r="G36" s="182" t="s">
        <v>63</v>
      </c>
      <c r="H36" s="187">
        <v>0.57299999999999995</v>
      </c>
      <c r="I36" s="211" t="s">
        <v>290</v>
      </c>
      <c r="J36" s="182">
        <v>3000000</v>
      </c>
      <c r="K36" s="206">
        <f>ROUNDDOWN(J36*M36,2)-904616.55</f>
        <v>895383.45</v>
      </c>
      <c r="L36" s="192">
        <f t="shared" si="12"/>
        <v>2104616.5499999998</v>
      </c>
      <c r="M36" s="166">
        <v>0.6</v>
      </c>
      <c r="N36" s="199">
        <v>0</v>
      </c>
      <c r="O36" s="199">
        <v>0</v>
      </c>
      <c r="P36" s="215">
        <v>0</v>
      </c>
      <c r="Q36" s="162">
        <v>0</v>
      </c>
      <c r="R36" s="162">
        <f>K36</f>
        <v>895383.45</v>
      </c>
      <c r="S36" s="162"/>
      <c r="T36" s="162"/>
      <c r="U36" s="162"/>
      <c r="V36" s="162"/>
      <c r="W36" s="162"/>
      <c r="X36" s="300" t="b">
        <f t="shared" si="7"/>
        <v>1</v>
      </c>
      <c r="Y36" s="301">
        <f>ROUND(K36/J36,4)</f>
        <v>0.29849999999999999</v>
      </c>
      <c r="Z36" s="302" t="b">
        <f t="shared" si="9"/>
        <v>0</v>
      </c>
      <c r="AA36" s="302" t="b">
        <f t="shared" si="10"/>
        <v>1</v>
      </c>
      <c r="AB36" s="303"/>
    </row>
    <row r="37" spans="1:28" ht="20.100000000000001" customHeight="1">
      <c r="A37" s="367" t="s">
        <v>43</v>
      </c>
      <c r="B37" s="367"/>
      <c r="C37" s="367"/>
      <c r="D37" s="367"/>
      <c r="E37" s="367"/>
      <c r="F37" s="367"/>
      <c r="G37" s="367"/>
      <c r="H37" s="175">
        <f>SUM(H3:H36)</f>
        <v>48.083999999999996</v>
      </c>
      <c r="I37" s="176" t="s">
        <v>14</v>
      </c>
      <c r="J37" s="174">
        <f>SUM(J3:J36)</f>
        <v>153882996.34999999</v>
      </c>
      <c r="K37" s="174">
        <f>SUM(K3:K36)</f>
        <v>92435681.230000004</v>
      </c>
      <c r="L37" s="174">
        <f>SUM(L3:L36)</f>
        <v>61447315.119999997</v>
      </c>
      <c r="M37" s="177" t="s">
        <v>14</v>
      </c>
      <c r="N37" s="178">
        <f t="shared" ref="N37:W37" si="14">SUM(N3:N36)</f>
        <v>0</v>
      </c>
      <c r="O37" s="178">
        <f t="shared" si="14"/>
        <v>0</v>
      </c>
      <c r="P37" s="178">
        <f t="shared" si="14"/>
        <v>0</v>
      </c>
      <c r="Q37" s="178">
        <f t="shared" si="14"/>
        <v>0</v>
      </c>
      <c r="R37" s="178">
        <f t="shared" si="14"/>
        <v>72187859.230000004</v>
      </c>
      <c r="S37" s="178">
        <f t="shared" si="14"/>
        <v>18594822</v>
      </c>
      <c r="T37" s="178">
        <f t="shared" si="14"/>
        <v>1653000</v>
      </c>
      <c r="U37" s="178">
        <f t="shared" si="14"/>
        <v>0</v>
      </c>
      <c r="V37" s="178">
        <f t="shared" si="14"/>
        <v>0</v>
      </c>
      <c r="W37" s="178">
        <f t="shared" si="14"/>
        <v>0</v>
      </c>
      <c r="X37" s="137" t="b">
        <f>K37=SUM(N37:W37)</f>
        <v>1</v>
      </c>
      <c r="Y37" s="179">
        <f>ROUND(K37/J37,4)</f>
        <v>0.60070000000000001</v>
      </c>
      <c r="Z37" s="180" t="s">
        <v>14</v>
      </c>
      <c r="AA37" s="180" t="b">
        <f>J37=K37+L37</f>
        <v>1</v>
      </c>
      <c r="AB37" s="23"/>
    </row>
    <row r="38" spans="1:28" ht="20.100000000000001" customHeight="1">
      <c r="A38" s="355" t="s">
        <v>38</v>
      </c>
      <c r="B38" s="355"/>
      <c r="C38" s="355"/>
      <c r="D38" s="355"/>
      <c r="E38" s="355"/>
      <c r="F38" s="355"/>
      <c r="G38" s="355"/>
      <c r="H38" s="132">
        <f>SUMIF($C$3:$C$36,"N",H3:H36)</f>
        <v>32.167999999999999</v>
      </c>
      <c r="I38" s="133" t="s">
        <v>14</v>
      </c>
      <c r="J38" s="33">
        <f>SUMIF($C$3:$C$36,"N",J3:J36)</f>
        <v>101834374.21000001</v>
      </c>
      <c r="K38" s="33">
        <f>SUMIF($C$3:$C$36,"N",K3:K36)</f>
        <v>61206507.949999996</v>
      </c>
      <c r="L38" s="33">
        <f>SUMIF($C$3:$C$36,"N",L3:L36)</f>
        <v>40627866.259999998</v>
      </c>
      <c r="M38" s="134" t="s">
        <v>14</v>
      </c>
      <c r="N38" s="138">
        <f t="shared" ref="N38:W38" si="15">SUMIF($C$3:$C$36,"N",N3:N36)</f>
        <v>0</v>
      </c>
      <c r="O38" s="138">
        <f t="shared" si="15"/>
        <v>0</v>
      </c>
      <c r="P38" s="138">
        <f t="shared" si="15"/>
        <v>0</v>
      </c>
      <c r="Q38" s="138">
        <f t="shared" si="15"/>
        <v>0</v>
      </c>
      <c r="R38" s="138">
        <f t="shared" si="15"/>
        <v>61206507.949999996</v>
      </c>
      <c r="S38" s="138">
        <f t="shared" si="15"/>
        <v>0</v>
      </c>
      <c r="T38" s="138">
        <f t="shared" si="15"/>
        <v>0</v>
      </c>
      <c r="U38" s="138">
        <f t="shared" si="15"/>
        <v>0</v>
      </c>
      <c r="V38" s="138">
        <f t="shared" si="15"/>
        <v>0</v>
      </c>
      <c r="W38" s="138">
        <f t="shared" si="15"/>
        <v>0</v>
      </c>
      <c r="X38" s="137" t="b">
        <f>K38=SUM(N38:W38)</f>
        <v>1</v>
      </c>
      <c r="Y38" s="179">
        <f>ROUND(K38/J38,4)</f>
        <v>0.60099999999999998</v>
      </c>
      <c r="Z38" s="180" t="s">
        <v>14</v>
      </c>
      <c r="AA38" s="180" t="b">
        <f>J38=K38+L38</f>
        <v>1</v>
      </c>
      <c r="AB38" s="23"/>
    </row>
    <row r="39" spans="1:28" ht="20.100000000000001" customHeight="1">
      <c r="A39" s="369" t="s">
        <v>39</v>
      </c>
      <c r="B39" s="369"/>
      <c r="C39" s="369"/>
      <c r="D39" s="369"/>
      <c r="E39" s="369"/>
      <c r="F39" s="369"/>
      <c r="G39" s="369"/>
      <c r="H39" s="135">
        <f>SUMIF($C$3:$C$36,"W",H3:H36)</f>
        <v>15.916</v>
      </c>
      <c r="I39" s="321" t="s">
        <v>14</v>
      </c>
      <c r="J39" s="252">
        <f>SUMIF($C$3:$C$36,"W",J3:J36)</f>
        <v>52048622.140000001</v>
      </c>
      <c r="K39" s="252">
        <f>SUMIF($C$3:$C$36,"W",K3:K36)</f>
        <v>31229173.280000001</v>
      </c>
      <c r="L39" s="252">
        <f>SUMIF($C$3:$C$36,"W",L3:L36)</f>
        <v>20819448.859999999</v>
      </c>
      <c r="M39" s="136" t="s">
        <v>14</v>
      </c>
      <c r="N39" s="269">
        <f t="shared" ref="N39:W39" si="16">SUMIF($C$3:$C$36,"W",N3:N36)</f>
        <v>0</v>
      </c>
      <c r="O39" s="269">
        <f t="shared" si="16"/>
        <v>0</v>
      </c>
      <c r="P39" s="269">
        <f t="shared" si="16"/>
        <v>0</v>
      </c>
      <c r="Q39" s="269">
        <f t="shared" si="16"/>
        <v>0</v>
      </c>
      <c r="R39" s="269">
        <f t="shared" si="16"/>
        <v>10981351.280000001</v>
      </c>
      <c r="S39" s="269">
        <f t="shared" si="16"/>
        <v>18594822</v>
      </c>
      <c r="T39" s="269">
        <f t="shared" si="16"/>
        <v>1653000</v>
      </c>
      <c r="U39" s="269">
        <f t="shared" si="16"/>
        <v>0</v>
      </c>
      <c r="V39" s="269">
        <f t="shared" si="16"/>
        <v>0</v>
      </c>
      <c r="W39" s="269">
        <f t="shared" si="16"/>
        <v>0</v>
      </c>
      <c r="X39" s="137" t="b">
        <f>K39=SUM(N39:W39)</f>
        <v>1</v>
      </c>
      <c r="Y39" s="179">
        <f>ROUND(K39/J39,4)</f>
        <v>0.6</v>
      </c>
      <c r="Z39" s="180" t="s">
        <v>14</v>
      </c>
      <c r="AA39" s="180" t="b">
        <f>J39=K39+L39</f>
        <v>1</v>
      </c>
      <c r="AB39" s="23"/>
    </row>
    <row r="40" spans="1:28">
      <c r="A40" s="25"/>
    </row>
    <row r="41" spans="1:28">
      <c r="A41" s="349" t="s">
        <v>25</v>
      </c>
      <c r="B41" s="349"/>
      <c r="C41" s="349"/>
      <c r="D41" s="349"/>
      <c r="E41" s="349"/>
      <c r="F41" s="349"/>
      <c r="G41" s="22"/>
      <c r="I41" s="289"/>
      <c r="J41" s="193"/>
      <c r="K41" s="290"/>
      <c r="L41" s="290"/>
      <c r="N41" s="290"/>
      <c r="O41" s="290"/>
      <c r="P41" s="290"/>
      <c r="Q41" s="290"/>
      <c r="R41" s="290"/>
    </row>
    <row r="42" spans="1:28">
      <c r="A42" s="350" t="s">
        <v>26</v>
      </c>
      <c r="B42" s="350"/>
      <c r="C42" s="350"/>
      <c r="D42" s="350"/>
      <c r="E42" s="350"/>
      <c r="F42" s="350"/>
      <c r="G42" s="350"/>
      <c r="I42" s="289"/>
      <c r="J42" s="194"/>
      <c r="K42" s="290"/>
      <c r="L42" s="290"/>
      <c r="N42" s="290"/>
      <c r="O42" s="290"/>
      <c r="P42" s="290"/>
      <c r="Q42" s="290"/>
      <c r="R42" s="290"/>
    </row>
    <row r="43" spans="1:28">
      <c r="A43" s="349" t="s">
        <v>42</v>
      </c>
      <c r="B43" s="349"/>
      <c r="C43" s="349"/>
      <c r="D43" s="349"/>
      <c r="E43" s="349"/>
      <c r="F43" s="349"/>
      <c r="G43" s="349"/>
      <c r="H43" s="4"/>
      <c r="I43" s="291"/>
      <c r="J43" s="195"/>
      <c r="K43" s="191"/>
      <c r="L43" s="191"/>
      <c r="N43" s="191"/>
      <c r="O43" s="191"/>
      <c r="P43" s="191"/>
      <c r="Q43" s="191"/>
      <c r="R43" s="191"/>
    </row>
    <row r="44" spans="1:28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</row>
    <row r="45" spans="1:28">
      <c r="A45" s="352" t="s">
        <v>509</v>
      </c>
      <c r="B45" s="352"/>
      <c r="C45" s="352"/>
      <c r="D45" s="352"/>
      <c r="E45" s="352"/>
      <c r="F45" s="352"/>
      <c r="G45" s="352"/>
      <c r="H45" s="352"/>
      <c r="I45" s="352"/>
      <c r="J45" s="352"/>
      <c r="K45" s="352"/>
      <c r="L45" s="352"/>
      <c r="M45" s="352"/>
      <c r="N45" s="352"/>
      <c r="O45" s="352"/>
      <c r="P45" s="352"/>
      <c r="Q45" s="352"/>
      <c r="R45" s="352"/>
    </row>
    <row r="46" spans="1:28">
      <c r="A46" s="292" t="s">
        <v>510</v>
      </c>
      <c r="B46" s="292"/>
      <c r="C46" s="292"/>
      <c r="D46" s="292"/>
      <c r="E46" s="292"/>
      <c r="F46" s="292"/>
      <c r="G46" s="292"/>
      <c r="H46" s="292"/>
      <c r="I46" s="292"/>
      <c r="J46" s="292"/>
      <c r="K46" s="292"/>
      <c r="L46" s="292"/>
      <c r="M46" s="292"/>
      <c r="N46" s="292"/>
      <c r="O46" s="292"/>
      <c r="P46" s="292"/>
      <c r="Q46" s="292"/>
      <c r="R46" s="292"/>
    </row>
    <row r="47" spans="1:28">
      <c r="A47" s="293"/>
      <c r="B47" s="4"/>
      <c r="C47" s="4"/>
      <c r="D47" s="4"/>
      <c r="E47" s="4"/>
      <c r="F47" s="4"/>
      <c r="G47" s="4"/>
      <c r="H47" s="4"/>
      <c r="I47" s="291"/>
      <c r="J47" s="191"/>
      <c r="K47" s="191"/>
      <c r="L47" s="191"/>
      <c r="N47" s="191"/>
      <c r="O47" s="191"/>
      <c r="P47" s="191"/>
      <c r="Q47" s="191"/>
      <c r="R47" s="191"/>
    </row>
    <row r="48" spans="1:28">
      <c r="A48" s="351" t="s">
        <v>109</v>
      </c>
      <c r="B48" s="351"/>
      <c r="C48" s="351"/>
      <c r="D48" s="351"/>
      <c r="E48" s="351"/>
      <c r="F48" s="351"/>
      <c r="G48" s="351"/>
      <c r="H48" s="351"/>
      <c r="I48" s="351"/>
      <c r="J48" s="351"/>
      <c r="K48" s="191"/>
      <c r="L48" s="191"/>
      <c r="N48" s="191"/>
      <c r="O48" s="191"/>
      <c r="P48" s="191"/>
      <c r="Q48" s="191"/>
      <c r="R48" s="191"/>
    </row>
    <row r="49" spans="1:18">
      <c r="A49" s="351" t="s">
        <v>110</v>
      </c>
      <c r="B49" s="351"/>
      <c r="C49" s="351"/>
      <c r="D49" s="351"/>
      <c r="E49" s="351"/>
      <c r="F49" s="351"/>
      <c r="G49" s="351"/>
      <c r="H49" s="351"/>
      <c r="I49" s="351"/>
      <c r="J49" s="191"/>
      <c r="K49" s="191"/>
      <c r="L49" s="191"/>
      <c r="N49" s="191"/>
      <c r="O49" s="191"/>
      <c r="P49" s="191"/>
      <c r="Q49" s="191"/>
      <c r="R49" s="191"/>
    </row>
    <row r="50" spans="1:18">
      <c r="A50" s="168"/>
      <c r="B50" s="4"/>
      <c r="C50" s="4"/>
      <c r="D50" s="4"/>
      <c r="E50" s="4"/>
      <c r="F50" s="4"/>
      <c r="G50" s="4"/>
      <c r="H50" s="4"/>
      <c r="I50" s="4"/>
      <c r="J50" s="168"/>
      <c r="K50" s="53"/>
      <c r="L50" s="53"/>
      <c r="M50" s="53"/>
      <c r="N50" s="137"/>
      <c r="O50" s="191"/>
      <c r="P50" s="191"/>
      <c r="Q50" s="191"/>
      <c r="R50" s="191"/>
    </row>
    <row r="51" spans="1:18">
      <c r="A51" s="4"/>
      <c r="B51" s="4"/>
      <c r="C51" s="4"/>
      <c r="D51" s="4"/>
      <c r="E51" s="4"/>
      <c r="F51" s="4"/>
    </row>
    <row r="52" spans="1:18">
      <c r="A52" s="4"/>
      <c r="B52" s="4"/>
      <c r="C52" s="4"/>
      <c r="D52" s="4"/>
      <c r="E52" s="4"/>
      <c r="F52" s="4"/>
      <c r="K52" s="325" t="e">
        <f>#REF!-'pow podst'!K54</f>
        <v>#REF!</v>
      </c>
    </row>
    <row r="111" spans="1:1">
      <c r="A111" s="4"/>
    </row>
  </sheetData>
  <mergeCells count="23">
    <mergeCell ref="M1:M2"/>
    <mergeCell ref="N1:W1"/>
    <mergeCell ref="A42:G42"/>
    <mergeCell ref="A43:G43"/>
    <mergeCell ref="J1:J2"/>
    <mergeCell ref="K1:K2"/>
    <mergeCell ref="L1:L2"/>
    <mergeCell ref="A45:R45"/>
    <mergeCell ref="A48:J48"/>
    <mergeCell ref="A49:I49"/>
    <mergeCell ref="A38:G38"/>
    <mergeCell ref="F1:F2"/>
    <mergeCell ref="G1:G2"/>
    <mergeCell ref="H1:H2"/>
    <mergeCell ref="D1:D2"/>
    <mergeCell ref="A37:G37"/>
    <mergeCell ref="E1:E2"/>
    <mergeCell ref="A39:G39"/>
    <mergeCell ref="I1:I2"/>
    <mergeCell ref="A1:A2"/>
    <mergeCell ref="B1:B2"/>
    <mergeCell ref="C1:C2"/>
    <mergeCell ref="A41:F41"/>
  </mergeCells>
  <conditionalFormatting sqref="AA39 X5:AA6 AB12 X10:AB10 AB14:AB15 X8:AA9 X37:X39 X7:AB7 X3:AB4 AB17:AB36 X11:AA36">
    <cfRule type="cellIs" dxfId="36" priority="39" operator="equal">
      <formula>FALSE</formula>
    </cfRule>
  </conditionalFormatting>
  <conditionalFormatting sqref="AB39">
    <cfRule type="cellIs" dxfId="35" priority="44" operator="equal">
      <formula>FALSE</formula>
    </cfRule>
  </conditionalFormatting>
  <conditionalFormatting sqref="AB39">
    <cfRule type="cellIs" dxfId="34" priority="43" operator="equal">
      <formula>FALSE</formula>
    </cfRule>
  </conditionalFormatting>
  <conditionalFormatting sqref="Y39:Z39">
    <cfRule type="cellIs" dxfId="33" priority="42" operator="equal">
      <formula>FALSE</formula>
    </cfRule>
  </conditionalFormatting>
  <conditionalFormatting sqref="Y39:Z39 X37:X39 X3:Z36">
    <cfRule type="containsText" dxfId="32" priority="40" operator="containsText" text="fałsz">
      <formula>NOT(ISERROR(SEARCH("fałsz",X3)))</formula>
    </cfRule>
  </conditionalFormatting>
  <conditionalFormatting sqref="AA39">
    <cfRule type="cellIs" dxfId="31" priority="38" operator="equal">
      <formula>FALSE</formula>
    </cfRule>
  </conditionalFormatting>
  <conditionalFormatting sqref="AB37:AB38">
    <cfRule type="cellIs" dxfId="30" priority="37" operator="equal">
      <formula>FALSE</formula>
    </cfRule>
  </conditionalFormatting>
  <conditionalFormatting sqref="AB37:AB38">
    <cfRule type="cellIs" dxfId="29" priority="36" operator="equal">
      <formula>FALSE</formula>
    </cfRule>
  </conditionalFormatting>
  <conditionalFormatting sqref="Y37:Z37">
    <cfRule type="cellIs" dxfId="28" priority="35" operator="equal">
      <formula>FALSE</formula>
    </cfRule>
  </conditionalFormatting>
  <conditionalFormatting sqref="Y37:Z37">
    <cfRule type="containsText" dxfId="27" priority="33" operator="containsText" text="fałsz">
      <formula>NOT(ISERROR(SEARCH("fałsz",Y37)))</formula>
    </cfRule>
  </conditionalFormatting>
  <conditionalFormatting sqref="AA37">
    <cfRule type="cellIs" dxfId="26" priority="32" operator="equal">
      <formula>FALSE</formula>
    </cfRule>
  </conditionalFormatting>
  <conditionalFormatting sqref="AA37">
    <cfRule type="cellIs" dxfId="25" priority="31" operator="equal">
      <formula>FALSE</formula>
    </cfRule>
  </conditionalFormatting>
  <conditionalFormatting sqref="Y38:Z38">
    <cfRule type="cellIs" dxfId="24" priority="30" operator="equal">
      <formula>FALSE</formula>
    </cfRule>
  </conditionalFormatting>
  <conditionalFormatting sqref="Y38:Z38">
    <cfRule type="containsText" dxfId="23" priority="28" operator="containsText" text="fałsz">
      <formula>NOT(ISERROR(SEARCH("fałsz",Y38)))</formula>
    </cfRule>
  </conditionalFormatting>
  <conditionalFormatting sqref="AA38">
    <cfRule type="cellIs" dxfId="22" priority="27" operator="equal">
      <formula>FALSE</formula>
    </cfRule>
  </conditionalFormatting>
  <conditionalFormatting sqref="AA38">
    <cfRule type="cellIs" dxfId="21" priority="26" operator="equal">
      <formula>FALSE</formula>
    </cfRule>
  </conditionalFormatting>
  <conditionalFormatting sqref="AB5">
    <cfRule type="cellIs" dxfId="20" priority="25" operator="equal">
      <formula>FALSE</formula>
    </cfRule>
  </conditionalFormatting>
  <conditionalFormatting sqref="AB13">
    <cfRule type="cellIs" dxfId="19" priority="23" operator="equal">
      <formula>FALSE</formula>
    </cfRule>
  </conditionalFormatting>
  <conditionalFormatting sqref="AB9">
    <cfRule type="cellIs" dxfId="18" priority="21" operator="equal">
      <formula>FALSE</formula>
    </cfRule>
  </conditionalFormatting>
  <conditionalFormatting sqref="AB16">
    <cfRule type="cellIs" dxfId="17" priority="19" operator="equal">
      <formula>FALSE</formula>
    </cfRule>
  </conditionalFormatting>
  <conditionalFormatting sqref="AB11">
    <cfRule type="cellIs" dxfId="16" priority="17" operator="equal">
      <formula>FALSE</formula>
    </cfRule>
  </conditionalFormatting>
  <conditionalFormatting sqref="AB6">
    <cfRule type="cellIs" dxfId="15" priority="15" operator="equal">
      <formula>FALSE</formula>
    </cfRule>
  </conditionalFormatting>
  <conditionalFormatting sqref="AB8">
    <cfRule type="cellIs" dxfId="14" priority="11" operator="equal">
      <formula>FALSE</formula>
    </cfRule>
  </conditionalFormatting>
  <conditionalFormatting sqref="F28">
    <cfRule type="duplicateValues" dxfId="13" priority="6"/>
  </conditionalFormatting>
  <conditionalFormatting sqref="D28">
    <cfRule type="duplicateValues" dxfId="12" priority="5"/>
  </conditionalFormatting>
  <conditionalFormatting sqref="B29">
    <cfRule type="duplicateValues" dxfId="11" priority="4"/>
  </conditionalFormatting>
  <conditionalFormatting sqref="B30">
    <cfRule type="duplicateValues" dxfId="10" priority="3"/>
  </conditionalFormatting>
  <conditionalFormatting sqref="B31">
    <cfRule type="duplicateValues" dxfId="9" priority="2"/>
  </conditionalFormatting>
  <conditionalFormatting sqref="B36">
    <cfRule type="duplicateValues" dxfId="8" priority="1"/>
  </conditionalFormatting>
  <dataValidations count="1">
    <dataValidation type="list" allowBlank="1" showInputMessage="1" showErrorMessage="1" sqref="C3:C36">
      <formula1>"N,K,W"</formula1>
    </dataValidation>
  </dataValidations>
  <pageMargins left="0.23622047244094491" right="0.23622047244094491" top="0.74803149606299213" bottom="0.74803149606299213" header="0.31496062992125984" footer="0.31496062992125984"/>
  <pageSetup paperSize="8" scale="56" fitToHeight="0" orientation="landscape" r:id="rId1"/>
  <headerFooter>
    <oddHeader>&amp;LWojewództwo podlaskie - zadania powiatowe lista rezerwowa</oddHeader>
    <oddFooter>Strona &amp;P z &amp;N</oddFooter>
  </headerFooter>
  <ignoredErrors>
    <ignoredError sqref="E33 E36 E34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B250"/>
  <sheetViews>
    <sheetView showGridLines="0" view="pageBreakPreview" topLeftCell="A49" zoomScale="90" zoomScaleNormal="85" zoomScaleSheetLayoutView="90" workbookViewId="0">
      <selection activeCell="G9" sqref="G9"/>
    </sheetView>
  </sheetViews>
  <sheetFormatPr defaultRowHeight="15"/>
  <cols>
    <col min="1" max="1" width="5" style="24" customWidth="1"/>
    <col min="2" max="2" width="7.28515625" style="24" customWidth="1"/>
    <col min="3" max="3" width="13" style="24" customWidth="1"/>
    <col min="4" max="4" width="17.28515625" style="24" customWidth="1"/>
    <col min="5" max="5" width="9.85546875" style="24" customWidth="1"/>
    <col min="6" max="6" width="17.5703125" style="24" customWidth="1"/>
    <col min="7" max="7" width="65.85546875" style="24" customWidth="1"/>
    <col min="8" max="8" width="8.5703125" style="24" customWidth="1"/>
    <col min="9" max="9" width="12" style="24" customWidth="1"/>
    <col min="10" max="10" width="13.7109375" style="137" customWidth="1"/>
    <col min="11" max="11" width="15.7109375" style="24" customWidth="1"/>
    <col min="12" max="12" width="17" style="24" customWidth="1"/>
    <col min="13" max="13" width="17.140625" style="24" customWidth="1"/>
    <col min="14" max="14" width="15.7109375" style="137" customWidth="1"/>
    <col min="15" max="17" width="15.7109375" style="24" customWidth="1"/>
    <col min="18" max="18" width="17.7109375" style="24" customWidth="1"/>
    <col min="19" max="20" width="15.7109375" style="24" customWidth="1"/>
    <col min="21" max="21" width="13.28515625" style="24" customWidth="1"/>
    <col min="22" max="22" width="12.42578125" style="24" customWidth="1"/>
    <col min="23" max="23" width="11.85546875" style="24" customWidth="1"/>
    <col min="24" max="24" width="13.5703125" style="24" customWidth="1"/>
    <col min="25" max="28" width="15.7109375" style="7" customWidth="1"/>
    <col min="29" max="16384" width="9.140625" style="7"/>
  </cols>
  <sheetData>
    <row r="1" spans="1:28" s="24" customFormat="1" ht="31.5" customHeight="1">
      <c r="A1" s="355" t="s">
        <v>4</v>
      </c>
      <c r="B1" s="355" t="s">
        <v>5</v>
      </c>
      <c r="C1" s="355" t="s">
        <v>107</v>
      </c>
      <c r="D1" s="355" t="s">
        <v>6</v>
      </c>
      <c r="E1" s="355" t="s">
        <v>33</v>
      </c>
      <c r="F1" s="355" t="s">
        <v>15</v>
      </c>
      <c r="G1" s="355" t="s">
        <v>7</v>
      </c>
      <c r="H1" s="355" t="s">
        <v>27</v>
      </c>
      <c r="I1" s="355" t="s">
        <v>108</v>
      </c>
      <c r="J1" s="355" t="s">
        <v>28</v>
      </c>
      <c r="K1" s="355" t="s">
        <v>9</v>
      </c>
      <c r="L1" s="355" t="s">
        <v>10</v>
      </c>
      <c r="M1" s="355" t="s">
        <v>13</v>
      </c>
      <c r="N1" s="355" t="s">
        <v>11</v>
      </c>
      <c r="O1" s="355" t="s">
        <v>12</v>
      </c>
      <c r="P1" s="355"/>
      <c r="Q1" s="355"/>
      <c r="R1" s="355"/>
      <c r="S1" s="355"/>
      <c r="T1" s="355"/>
      <c r="U1" s="355"/>
      <c r="V1" s="355"/>
      <c r="W1" s="355"/>
      <c r="X1" s="355"/>
    </row>
    <row r="2" spans="1:28" s="24" customFormat="1" ht="27" customHeight="1">
      <c r="A2" s="355"/>
      <c r="B2" s="355"/>
      <c r="C2" s="355"/>
      <c r="D2" s="355"/>
      <c r="E2" s="355"/>
      <c r="F2" s="355"/>
      <c r="G2" s="355"/>
      <c r="H2" s="355"/>
      <c r="I2" s="355"/>
      <c r="J2" s="355"/>
      <c r="K2" s="355"/>
      <c r="L2" s="355"/>
      <c r="M2" s="355"/>
      <c r="N2" s="355"/>
      <c r="O2" s="319">
        <v>2019</v>
      </c>
      <c r="P2" s="319">
        <v>2020</v>
      </c>
      <c r="Q2" s="319">
        <v>2021</v>
      </c>
      <c r="R2" s="319">
        <v>2022</v>
      </c>
      <c r="S2" s="319">
        <v>2023</v>
      </c>
      <c r="T2" s="319">
        <v>2024</v>
      </c>
      <c r="U2" s="319">
        <v>2025</v>
      </c>
      <c r="V2" s="319">
        <v>2026</v>
      </c>
      <c r="W2" s="319">
        <v>2027</v>
      </c>
      <c r="X2" s="319">
        <v>2028</v>
      </c>
      <c r="Y2" s="137" t="s">
        <v>29</v>
      </c>
      <c r="Z2" s="137" t="s">
        <v>30</v>
      </c>
      <c r="AA2" s="137" t="s">
        <v>31</v>
      </c>
      <c r="AB2" s="28" t="s">
        <v>32</v>
      </c>
    </row>
    <row r="3" spans="1:28" s="20" customFormat="1" ht="36.75" customHeight="1">
      <c r="A3" s="185">
        <v>1</v>
      </c>
      <c r="B3" s="185">
        <v>286</v>
      </c>
      <c r="C3" s="185" t="s">
        <v>73</v>
      </c>
      <c r="D3" s="185" t="s">
        <v>423</v>
      </c>
      <c r="E3" s="242">
        <v>2001072</v>
      </c>
      <c r="F3" s="185" t="s">
        <v>95</v>
      </c>
      <c r="G3" s="186" t="s">
        <v>424</v>
      </c>
      <c r="H3" s="182" t="s">
        <v>49</v>
      </c>
      <c r="I3" s="187">
        <v>1.6</v>
      </c>
      <c r="J3" s="188" t="s">
        <v>425</v>
      </c>
      <c r="K3" s="271">
        <v>1651500</v>
      </c>
      <c r="L3" s="272">
        <f>ROUNDDOWN(K3*N3,2)</f>
        <v>990900</v>
      </c>
      <c r="M3" s="271">
        <f>K3-L3</f>
        <v>660600</v>
      </c>
      <c r="N3" s="258">
        <v>0.6</v>
      </c>
      <c r="O3" s="199">
        <v>0</v>
      </c>
      <c r="P3" s="199">
        <v>0</v>
      </c>
      <c r="Q3" s="208">
        <v>0</v>
      </c>
      <c r="R3" s="162">
        <v>0</v>
      </c>
      <c r="S3" s="199">
        <f>L3</f>
        <v>990900</v>
      </c>
      <c r="T3" s="199"/>
      <c r="U3" s="200"/>
      <c r="V3" s="260"/>
      <c r="W3" s="260"/>
      <c r="X3" s="260"/>
      <c r="Y3" s="28" t="b">
        <f>L3=SUM(O3:X3)</f>
        <v>1</v>
      </c>
      <c r="Z3" s="139">
        <f>ROUND(L3/K3,4)</f>
        <v>0.6</v>
      </c>
      <c r="AA3" s="140" t="b">
        <f>Z3=N3</f>
        <v>1</v>
      </c>
      <c r="AB3" s="140" t="b">
        <f>K3=L3+M3</f>
        <v>1</v>
      </c>
    </row>
    <row r="4" spans="1:28" s="312" customFormat="1" ht="36.75" customHeight="1">
      <c r="A4" s="185">
        <v>2</v>
      </c>
      <c r="B4" s="185"/>
      <c r="C4" s="185" t="s">
        <v>73</v>
      </c>
      <c r="D4" s="185" t="s">
        <v>565</v>
      </c>
      <c r="E4" s="242">
        <v>2014032</v>
      </c>
      <c r="F4" s="185" t="s">
        <v>57</v>
      </c>
      <c r="G4" s="186" t="s">
        <v>566</v>
      </c>
      <c r="H4" s="182" t="s">
        <v>63</v>
      </c>
      <c r="I4" s="187"/>
      <c r="J4" s="188"/>
      <c r="K4" s="271">
        <v>4341400</v>
      </c>
      <c r="L4" s="272">
        <f>ROUNDDOWN(K4*N4,2)</f>
        <v>3038980</v>
      </c>
      <c r="M4" s="271">
        <f>K4-L4</f>
        <v>1302420</v>
      </c>
      <c r="N4" s="258">
        <v>0.7</v>
      </c>
      <c r="O4" s="199"/>
      <c r="P4" s="199"/>
      <c r="Q4" s="208"/>
      <c r="R4" s="162"/>
      <c r="S4" s="199">
        <v>3038980</v>
      </c>
      <c r="T4" s="199"/>
      <c r="U4" s="200"/>
      <c r="V4" s="260"/>
      <c r="W4" s="260"/>
      <c r="X4" s="260"/>
      <c r="Y4" s="28" t="b">
        <f t="shared" ref="Y4:Y10" si="0">L4=SUM(O4:X4)</f>
        <v>1</v>
      </c>
      <c r="Z4" s="139">
        <f t="shared" ref="Z4:Z11" si="1">ROUND(L4/K4,4)</f>
        <v>0.7</v>
      </c>
      <c r="AA4" s="140" t="b">
        <f t="shared" ref="AA4:AA12" si="2">Z4=N4</f>
        <v>1</v>
      </c>
      <c r="AB4" s="140" t="b">
        <f t="shared" ref="AB4:AB11" si="3">K4=L4+M4</f>
        <v>1</v>
      </c>
    </row>
    <row r="5" spans="1:28" s="317" customFormat="1" ht="37.5" customHeight="1">
      <c r="A5" s="196">
        <v>3</v>
      </c>
      <c r="B5" s="185">
        <v>50</v>
      </c>
      <c r="C5" s="185" t="s">
        <v>73</v>
      </c>
      <c r="D5" s="185" t="s">
        <v>502</v>
      </c>
      <c r="E5" s="240">
        <v>2001011</v>
      </c>
      <c r="F5" s="233" t="s">
        <v>95</v>
      </c>
      <c r="G5" s="210" t="s">
        <v>533</v>
      </c>
      <c r="H5" s="182" t="s">
        <v>48</v>
      </c>
      <c r="I5" s="187">
        <v>0.29799999999999999</v>
      </c>
      <c r="J5" s="211" t="s">
        <v>458</v>
      </c>
      <c r="K5" s="271">
        <v>7809000</v>
      </c>
      <c r="L5" s="272">
        <f>ROUNDDOWN(K5*N5,2)</f>
        <v>4685400</v>
      </c>
      <c r="M5" s="271">
        <f>K5-L5</f>
        <v>3123600</v>
      </c>
      <c r="N5" s="257">
        <v>0.6</v>
      </c>
      <c r="O5" s="199">
        <v>0</v>
      </c>
      <c r="P5" s="199">
        <v>0</v>
      </c>
      <c r="Q5" s="208">
        <v>0</v>
      </c>
      <c r="R5" s="199">
        <v>0</v>
      </c>
      <c r="S5" s="199">
        <f>L5</f>
        <v>4685400</v>
      </c>
      <c r="T5" s="199"/>
      <c r="U5" s="200"/>
      <c r="V5" s="207"/>
      <c r="W5" s="207"/>
      <c r="X5" s="207"/>
      <c r="Y5" s="28" t="b">
        <f t="shared" si="0"/>
        <v>1</v>
      </c>
      <c r="Z5" s="139">
        <f t="shared" si="1"/>
        <v>0.6</v>
      </c>
      <c r="AA5" s="140" t="b">
        <f t="shared" si="2"/>
        <v>1</v>
      </c>
      <c r="AB5" s="140" t="b">
        <f t="shared" si="3"/>
        <v>1</v>
      </c>
    </row>
    <row r="6" spans="1:28" s="205" customFormat="1" ht="36.75" customHeight="1">
      <c r="A6" s="185">
        <v>4</v>
      </c>
      <c r="B6" s="241">
        <v>28</v>
      </c>
      <c r="C6" s="185" t="s">
        <v>73</v>
      </c>
      <c r="D6" s="185" t="s">
        <v>311</v>
      </c>
      <c r="E6" s="242">
        <v>2012082</v>
      </c>
      <c r="F6" s="185" t="s">
        <v>54</v>
      </c>
      <c r="G6" s="234" t="s">
        <v>381</v>
      </c>
      <c r="H6" s="230" t="s">
        <v>49</v>
      </c>
      <c r="I6" s="231">
        <v>1.2</v>
      </c>
      <c r="J6" s="241" t="s">
        <v>259</v>
      </c>
      <c r="K6" s="294">
        <v>1450000</v>
      </c>
      <c r="L6" s="272">
        <f>ROUNDDOWN(K6*N6,2)</f>
        <v>1160000</v>
      </c>
      <c r="M6" s="271">
        <f>K6-L6</f>
        <v>290000</v>
      </c>
      <c r="N6" s="258">
        <v>0.8</v>
      </c>
      <c r="O6" s="199">
        <v>0</v>
      </c>
      <c r="P6" s="199">
        <v>0</v>
      </c>
      <c r="Q6" s="208">
        <v>0</v>
      </c>
      <c r="R6" s="162">
        <v>0</v>
      </c>
      <c r="S6" s="199">
        <f>L6</f>
        <v>1160000</v>
      </c>
      <c r="T6" s="253"/>
      <c r="U6" s="259"/>
      <c r="V6" s="260"/>
      <c r="W6" s="260"/>
      <c r="X6" s="260"/>
      <c r="Y6" s="28" t="b">
        <f t="shared" si="0"/>
        <v>1</v>
      </c>
      <c r="Z6" s="139">
        <f t="shared" si="1"/>
        <v>0.8</v>
      </c>
      <c r="AA6" s="140" t="b">
        <f t="shared" si="2"/>
        <v>1</v>
      </c>
      <c r="AB6" s="140" t="b">
        <f t="shared" si="3"/>
        <v>1</v>
      </c>
    </row>
    <row r="7" spans="1:28" s="205" customFormat="1" ht="36.75" customHeight="1">
      <c r="A7" s="185">
        <v>5</v>
      </c>
      <c r="B7" s="185">
        <v>211</v>
      </c>
      <c r="C7" s="185" t="s">
        <v>73</v>
      </c>
      <c r="D7" s="185" t="s">
        <v>380</v>
      </c>
      <c r="E7" s="242">
        <v>2002133</v>
      </c>
      <c r="F7" s="233" t="s">
        <v>50</v>
      </c>
      <c r="G7" s="210" t="s">
        <v>546</v>
      </c>
      <c r="H7" s="182" t="s">
        <v>49</v>
      </c>
      <c r="I7" s="187">
        <v>0.37</v>
      </c>
      <c r="J7" s="211" t="s">
        <v>334</v>
      </c>
      <c r="K7" s="182">
        <v>1889000</v>
      </c>
      <c r="L7" s="272">
        <f t="shared" ref="L7" si="4">ROUNDDOWN(K7*N7,2)</f>
        <v>1133400</v>
      </c>
      <c r="M7" s="271">
        <f t="shared" ref="M7" si="5">K7-L7</f>
        <v>755600</v>
      </c>
      <c r="N7" s="257">
        <v>0.6</v>
      </c>
      <c r="O7" s="199">
        <v>0</v>
      </c>
      <c r="P7" s="199">
        <v>0</v>
      </c>
      <c r="Q7" s="208">
        <v>0</v>
      </c>
      <c r="R7" s="199">
        <v>0</v>
      </c>
      <c r="S7" s="199">
        <f t="shared" ref="S7" si="6">L7</f>
        <v>1133400</v>
      </c>
      <c r="T7" s="199"/>
      <c r="U7" s="200"/>
      <c r="V7" s="207"/>
      <c r="W7" s="207"/>
      <c r="X7" s="207"/>
      <c r="Y7" s="28" t="b">
        <f t="shared" si="0"/>
        <v>1</v>
      </c>
      <c r="Z7" s="139">
        <f t="shared" si="1"/>
        <v>0.6</v>
      </c>
      <c r="AA7" s="140" t="b">
        <f t="shared" si="2"/>
        <v>1</v>
      </c>
      <c r="AB7" s="140" t="b">
        <f t="shared" si="3"/>
        <v>1</v>
      </c>
    </row>
    <row r="8" spans="1:28" s="20" customFormat="1" ht="36" customHeight="1">
      <c r="A8" s="185">
        <v>6</v>
      </c>
      <c r="B8" s="241">
        <v>188</v>
      </c>
      <c r="C8" s="185" t="s">
        <v>73</v>
      </c>
      <c r="D8" s="185" t="s">
        <v>201</v>
      </c>
      <c r="E8" s="242">
        <v>2007013</v>
      </c>
      <c r="F8" s="185" t="s">
        <v>58</v>
      </c>
      <c r="G8" s="186" t="s">
        <v>391</v>
      </c>
      <c r="H8" s="182" t="s">
        <v>49</v>
      </c>
      <c r="I8" s="187">
        <v>0.56000000000000005</v>
      </c>
      <c r="J8" s="188" t="s">
        <v>347</v>
      </c>
      <c r="K8" s="271">
        <v>732000</v>
      </c>
      <c r="L8" s="272">
        <f t="shared" ref="L8:L15" si="7">ROUNDDOWN(K8*N8,2)</f>
        <v>439200</v>
      </c>
      <c r="M8" s="271">
        <f t="shared" ref="M8:M15" si="8">K8-L8</f>
        <v>292800</v>
      </c>
      <c r="N8" s="258">
        <v>0.6</v>
      </c>
      <c r="O8" s="199">
        <v>0</v>
      </c>
      <c r="P8" s="199">
        <v>0</v>
      </c>
      <c r="Q8" s="208">
        <v>0</v>
      </c>
      <c r="R8" s="162">
        <v>0</v>
      </c>
      <c r="S8" s="199">
        <f>L8</f>
        <v>439200</v>
      </c>
      <c r="T8" s="199"/>
      <c r="U8" s="200"/>
      <c r="V8" s="260"/>
      <c r="W8" s="260"/>
      <c r="X8" s="260"/>
      <c r="Y8" s="28" t="b">
        <f t="shared" si="0"/>
        <v>1</v>
      </c>
      <c r="Z8" s="139">
        <f t="shared" si="1"/>
        <v>0.6</v>
      </c>
      <c r="AA8" s="140" t="b">
        <f t="shared" si="2"/>
        <v>1</v>
      </c>
      <c r="AB8" s="140" t="b">
        <f t="shared" si="3"/>
        <v>1</v>
      </c>
    </row>
    <row r="9" spans="1:28" s="205" customFormat="1" ht="36" customHeight="1">
      <c r="A9" s="243">
        <v>7</v>
      </c>
      <c r="B9" s="243">
        <v>209</v>
      </c>
      <c r="C9" s="243" t="s">
        <v>61</v>
      </c>
      <c r="D9" s="243" t="s">
        <v>380</v>
      </c>
      <c r="E9" s="248">
        <v>2002133</v>
      </c>
      <c r="F9" s="243" t="s">
        <v>50</v>
      </c>
      <c r="G9" s="250" t="s">
        <v>420</v>
      </c>
      <c r="H9" s="246" t="s">
        <v>49</v>
      </c>
      <c r="I9" s="247">
        <v>1.5249999999999999</v>
      </c>
      <c r="J9" s="262" t="s">
        <v>320</v>
      </c>
      <c r="K9" s="269">
        <v>9602000</v>
      </c>
      <c r="L9" s="270">
        <f>ROUNDDOWN(K9*N9,2)</f>
        <v>5761200</v>
      </c>
      <c r="M9" s="269">
        <f t="shared" si="8"/>
        <v>3840800</v>
      </c>
      <c r="N9" s="256">
        <v>0.6</v>
      </c>
      <c r="O9" s="253">
        <v>0</v>
      </c>
      <c r="P9" s="253">
        <v>0</v>
      </c>
      <c r="Q9" s="254">
        <v>0</v>
      </c>
      <c r="R9" s="263">
        <v>0</v>
      </c>
      <c r="S9" s="263">
        <f>4000000*N9</f>
        <v>2400000</v>
      </c>
      <c r="T9" s="253">
        <f>5602000*N9</f>
        <v>3361200</v>
      </c>
      <c r="U9" s="259"/>
      <c r="V9" s="260"/>
      <c r="W9" s="260"/>
      <c r="X9" s="260"/>
      <c r="Y9" s="28" t="b">
        <f t="shared" si="0"/>
        <v>1</v>
      </c>
      <c r="Z9" s="139">
        <f t="shared" si="1"/>
        <v>0.6</v>
      </c>
      <c r="AA9" s="140" t="b">
        <f t="shared" si="2"/>
        <v>1</v>
      </c>
      <c r="AB9" s="140" t="b">
        <f t="shared" si="3"/>
        <v>1</v>
      </c>
    </row>
    <row r="10" spans="1:28" s="170" customFormat="1" ht="37.5" customHeight="1">
      <c r="A10" s="185">
        <v>8</v>
      </c>
      <c r="B10" s="241">
        <v>29</v>
      </c>
      <c r="C10" s="185" t="s">
        <v>73</v>
      </c>
      <c r="D10" s="185" t="s">
        <v>311</v>
      </c>
      <c r="E10" s="242">
        <v>2012082</v>
      </c>
      <c r="F10" s="185" t="s">
        <v>54</v>
      </c>
      <c r="G10" s="234" t="s">
        <v>312</v>
      </c>
      <c r="H10" s="230" t="s">
        <v>49</v>
      </c>
      <c r="I10" s="231">
        <v>1.8</v>
      </c>
      <c r="J10" s="241" t="s">
        <v>259</v>
      </c>
      <c r="K10" s="294">
        <v>2200000</v>
      </c>
      <c r="L10" s="272">
        <f>ROUNDDOWN(K10*N10,2)</f>
        <v>1760000</v>
      </c>
      <c r="M10" s="271">
        <f>K10-L10</f>
        <v>440000</v>
      </c>
      <c r="N10" s="258">
        <v>0.8</v>
      </c>
      <c r="O10" s="199">
        <v>0</v>
      </c>
      <c r="P10" s="199">
        <v>0</v>
      </c>
      <c r="Q10" s="208">
        <v>0</v>
      </c>
      <c r="R10" s="199">
        <v>0</v>
      </c>
      <c r="S10" s="199">
        <f>L10</f>
        <v>1760000</v>
      </c>
      <c r="T10" s="199"/>
      <c r="U10" s="200"/>
      <c r="V10" s="207"/>
      <c r="W10" s="207"/>
      <c r="X10" s="207"/>
      <c r="Y10" s="28" t="b">
        <f t="shared" si="0"/>
        <v>1</v>
      </c>
      <c r="Z10" s="139">
        <f t="shared" si="1"/>
        <v>0.8</v>
      </c>
      <c r="AA10" s="140" t="b">
        <f t="shared" si="2"/>
        <v>1</v>
      </c>
      <c r="AB10" s="140" t="b">
        <f t="shared" si="3"/>
        <v>1</v>
      </c>
    </row>
    <row r="11" spans="1:28" s="4" customFormat="1" ht="36.75" customHeight="1">
      <c r="A11" s="243">
        <v>9</v>
      </c>
      <c r="B11" s="243">
        <v>301</v>
      </c>
      <c r="C11" s="243" t="s">
        <v>61</v>
      </c>
      <c r="D11" s="243" t="s">
        <v>192</v>
      </c>
      <c r="E11" s="248">
        <v>2013023</v>
      </c>
      <c r="F11" s="243" t="s">
        <v>55</v>
      </c>
      <c r="G11" s="250" t="s">
        <v>400</v>
      </c>
      <c r="H11" s="246" t="s">
        <v>49</v>
      </c>
      <c r="I11" s="247">
        <v>0.52700000000000002</v>
      </c>
      <c r="J11" s="262" t="s">
        <v>389</v>
      </c>
      <c r="K11" s="269">
        <v>901845</v>
      </c>
      <c r="L11" s="270">
        <f t="shared" si="7"/>
        <v>541107</v>
      </c>
      <c r="M11" s="269">
        <f t="shared" si="8"/>
        <v>360738</v>
      </c>
      <c r="N11" s="256">
        <v>0.6</v>
      </c>
      <c r="O11" s="253">
        <v>0</v>
      </c>
      <c r="P11" s="253">
        <v>0</v>
      </c>
      <c r="Q11" s="254">
        <v>0</v>
      </c>
      <c r="R11" s="263">
        <v>0</v>
      </c>
      <c r="S11" s="253">
        <f>400000*N11</f>
        <v>240000</v>
      </c>
      <c r="T11" s="253">
        <f>501845*N11</f>
        <v>301107</v>
      </c>
      <c r="U11" s="259"/>
      <c r="V11" s="260"/>
      <c r="W11" s="260"/>
      <c r="X11" s="260"/>
      <c r="Y11" s="28" t="b">
        <f t="shared" ref="Y11:Y15" si="9">L11=SUM(O11:X11)</f>
        <v>1</v>
      </c>
      <c r="Z11" s="139">
        <f t="shared" si="1"/>
        <v>0.6</v>
      </c>
      <c r="AA11" s="140" t="b">
        <f t="shared" si="2"/>
        <v>1</v>
      </c>
      <c r="AB11" s="140" t="b">
        <f t="shared" si="3"/>
        <v>1</v>
      </c>
    </row>
    <row r="12" spans="1:28" s="20" customFormat="1" ht="36.75" customHeight="1">
      <c r="A12" s="243">
        <v>10</v>
      </c>
      <c r="B12" s="243">
        <v>313</v>
      </c>
      <c r="C12" s="243" t="s">
        <v>61</v>
      </c>
      <c r="D12" s="243" t="s">
        <v>426</v>
      </c>
      <c r="E12" s="248">
        <v>2002052</v>
      </c>
      <c r="F12" s="243" t="s">
        <v>50</v>
      </c>
      <c r="G12" s="250" t="s">
        <v>427</v>
      </c>
      <c r="H12" s="246" t="s">
        <v>48</v>
      </c>
      <c r="I12" s="247">
        <v>1.351</v>
      </c>
      <c r="J12" s="262" t="s">
        <v>428</v>
      </c>
      <c r="K12" s="269">
        <v>10419885</v>
      </c>
      <c r="L12" s="270">
        <f t="shared" si="7"/>
        <v>6251931</v>
      </c>
      <c r="M12" s="269">
        <f t="shared" si="8"/>
        <v>4167954</v>
      </c>
      <c r="N12" s="256">
        <v>0.6</v>
      </c>
      <c r="O12" s="253">
        <v>0</v>
      </c>
      <c r="P12" s="253">
        <v>0</v>
      </c>
      <c r="Q12" s="254">
        <v>0</v>
      </c>
      <c r="R12" s="263">
        <v>0</v>
      </c>
      <c r="S12" s="253">
        <f>4195122.4*N12</f>
        <v>2517073.44</v>
      </c>
      <c r="T12" s="253">
        <f>6224762.6*N12</f>
        <v>3734857.5599999996</v>
      </c>
      <c r="U12" s="259"/>
      <c r="V12" s="260"/>
      <c r="W12" s="260"/>
      <c r="X12" s="260"/>
      <c r="Y12" s="28" t="b">
        <f t="shared" si="9"/>
        <v>1</v>
      </c>
      <c r="Z12" s="139">
        <f t="shared" ref="Z12:Z15" si="10">ROUND(L12/K12,4)</f>
        <v>0.6</v>
      </c>
      <c r="AA12" s="140" t="b">
        <f t="shared" si="2"/>
        <v>1</v>
      </c>
      <c r="AB12" s="140" t="b">
        <f t="shared" ref="AB12:AB15" si="11">K12=L12+M12</f>
        <v>1</v>
      </c>
    </row>
    <row r="13" spans="1:28" s="20" customFormat="1" ht="36.75" customHeight="1">
      <c r="A13" s="185">
        <v>11</v>
      </c>
      <c r="B13" s="241">
        <v>275</v>
      </c>
      <c r="C13" s="185" t="s">
        <v>73</v>
      </c>
      <c r="D13" s="185" t="s">
        <v>161</v>
      </c>
      <c r="E13" s="242">
        <v>2013033</v>
      </c>
      <c r="F13" s="185" t="s">
        <v>55</v>
      </c>
      <c r="G13" s="186" t="s">
        <v>397</v>
      </c>
      <c r="H13" s="182" t="s">
        <v>49</v>
      </c>
      <c r="I13" s="187">
        <v>1.33</v>
      </c>
      <c r="J13" s="188" t="s">
        <v>349</v>
      </c>
      <c r="K13" s="271">
        <v>2760889.37</v>
      </c>
      <c r="L13" s="272">
        <f t="shared" si="7"/>
        <v>1656533.62</v>
      </c>
      <c r="M13" s="271">
        <f t="shared" si="8"/>
        <v>1104355.75</v>
      </c>
      <c r="N13" s="258">
        <v>0.6</v>
      </c>
      <c r="O13" s="199">
        <v>0</v>
      </c>
      <c r="P13" s="199">
        <v>0</v>
      </c>
      <c r="Q13" s="208">
        <v>0</v>
      </c>
      <c r="R13" s="162">
        <v>0</v>
      </c>
      <c r="S13" s="226">
        <f>L13</f>
        <v>1656533.62</v>
      </c>
      <c r="T13" s="253"/>
      <c r="U13" s="259"/>
      <c r="V13" s="260"/>
      <c r="W13" s="260"/>
      <c r="X13" s="260"/>
      <c r="Y13" s="28" t="b">
        <f t="shared" si="9"/>
        <v>1</v>
      </c>
      <c r="Z13" s="139">
        <f t="shared" si="10"/>
        <v>0.6</v>
      </c>
      <c r="AA13" s="140" t="b">
        <f t="shared" ref="AA13:AA15" si="12">Z13=N13</f>
        <v>1</v>
      </c>
      <c r="AB13" s="140" t="b">
        <f t="shared" si="11"/>
        <v>1</v>
      </c>
    </row>
    <row r="14" spans="1:28" s="4" customFormat="1" ht="36.75" customHeight="1">
      <c r="A14" s="243">
        <v>12</v>
      </c>
      <c r="B14" s="243">
        <v>309</v>
      </c>
      <c r="C14" s="243" t="s">
        <v>61</v>
      </c>
      <c r="D14" s="243" t="s">
        <v>192</v>
      </c>
      <c r="E14" s="248">
        <v>2013023</v>
      </c>
      <c r="F14" s="243" t="s">
        <v>55</v>
      </c>
      <c r="G14" s="250" t="s">
        <v>401</v>
      </c>
      <c r="H14" s="246" t="s">
        <v>49</v>
      </c>
      <c r="I14" s="247">
        <v>0.49</v>
      </c>
      <c r="J14" s="262" t="s">
        <v>402</v>
      </c>
      <c r="K14" s="269">
        <v>1401500</v>
      </c>
      <c r="L14" s="270">
        <f t="shared" si="7"/>
        <v>840900</v>
      </c>
      <c r="M14" s="269">
        <f t="shared" si="8"/>
        <v>560600</v>
      </c>
      <c r="N14" s="256">
        <v>0.6</v>
      </c>
      <c r="O14" s="253">
        <v>0</v>
      </c>
      <c r="P14" s="253">
        <v>0</v>
      </c>
      <c r="Q14" s="254">
        <v>0</v>
      </c>
      <c r="R14" s="263">
        <v>0</v>
      </c>
      <c r="S14" s="253">
        <f>650000*N14</f>
        <v>390000</v>
      </c>
      <c r="T14" s="253">
        <f>751500*N14</f>
        <v>450900</v>
      </c>
      <c r="U14" s="259"/>
      <c r="V14" s="260"/>
      <c r="W14" s="260"/>
      <c r="X14" s="260"/>
      <c r="Y14" s="28" t="b">
        <f t="shared" si="9"/>
        <v>1</v>
      </c>
      <c r="Z14" s="139">
        <f t="shared" si="10"/>
        <v>0.6</v>
      </c>
      <c r="AA14" s="140" t="b">
        <f t="shared" si="12"/>
        <v>1</v>
      </c>
      <c r="AB14" s="140" t="b">
        <f t="shared" si="11"/>
        <v>1</v>
      </c>
    </row>
    <row r="15" spans="1:28" s="4" customFormat="1" ht="36.75" customHeight="1">
      <c r="A15" s="185">
        <v>13</v>
      </c>
      <c r="B15" s="185">
        <v>23</v>
      </c>
      <c r="C15" s="185" t="s">
        <v>73</v>
      </c>
      <c r="D15" s="185" t="s">
        <v>460</v>
      </c>
      <c r="E15" s="242">
        <v>2063000</v>
      </c>
      <c r="F15" s="241" t="s">
        <v>54</v>
      </c>
      <c r="G15" s="234" t="s">
        <v>462</v>
      </c>
      <c r="H15" s="230" t="s">
        <v>48</v>
      </c>
      <c r="I15" s="231">
        <v>0.59799999999999998</v>
      </c>
      <c r="J15" s="241" t="s">
        <v>290</v>
      </c>
      <c r="K15" s="294">
        <v>3976132.34</v>
      </c>
      <c r="L15" s="272">
        <f t="shared" si="7"/>
        <v>2385679.4</v>
      </c>
      <c r="M15" s="271">
        <f t="shared" si="8"/>
        <v>1590452.94</v>
      </c>
      <c r="N15" s="258">
        <v>0.6</v>
      </c>
      <c r="O15" s="199">
        <v>0</v>
      </c>
      <c r="P15" s="199">
        <v>0</v>
      </c>
      <c r="Q15" s="208">
        <v>0</v>
      </c>
      <c r="R15" s="162">
        <v>0</v>
      </c>
      <c r="S15" s="226">
        <f>L15</f>
        <v>2385679.4</v>
      </c>
      <c r="T15" s="199"/>
      <c r="U15" s="200"/>
      <c r="V15" s="260"/>
      <c r="W15" s="260"/>
      <c r="X15" s="260"/>
      <c r="Y15" s="28" t="b">
        <f t="shared" si="9"/>
        <v>1</v>
      </c>
      <c r="Z15" s="139">
        <f t="shared" si="10"/>
        <v>0.6</v>
      </c>
      <c r="AA15" s="140" t="b">
        <f t="shared" si="12"/>
        <v>1</v>
      </c>
      <c r="AB15" s="140" t="b">
        <f t="shared" si="11"/>
        <v>1</v>
      </c>
    </row>
    <row r="16" spans="1:28" s="20" customFormat="1" ht="36.75" customHeight="1">
      <c r="A16" s="185">
        <v>14</v>
      </c>
      <c r="B16" s="241">
        <v>315</v>
      </c>
      <c r="C16" s="185" t="s">
        <v>73</v>
      </c>
      <c r="D16" s="185" t="s">
        <v>429</v>
      </c>
      <c r="E16" s="242">
        <v>2006053</v>
      </c>
      <c r="F16" s="185" t="s">
        <v>90</v>
      </c>
      <c r="G16" s="186" t="s">
        <v>430</v>
      </c>
      <c r="H16" s="182" t="s">
        <v>49</v>
      </c>
      <c r="I16" s="187">
        <v>2.83</v>
      </c>
      <c r="J16" s="188" t="s">
        <v>287</v>
      </c>
      <c r="K16" s="271">
        <v>5233000</v>
      </c>
      <c r="L16" s="272">
        <f>ROUNDDOWN(K16*N16,2)</f>
        <v>3139800</v>
      </c>
      <c r="M16" s="271">
        <f>K16-L16</f>
        <v>2093200</v>
      </c>
      <c r="N16" s="258">
        <v>0.6</v>
      </c>
      <c r="O16" s="199">
        <v>0</v>
      </c>
      <c r="P16" s="199">
        <v>0</v>
      </c>
      <c r="Q16" s="208">
        <v>0</v>
      </c>
      <c r="R16" s="162">
        <v>0</v>
      </c>
      <c r="S16" s="199">
        <f>L16</f>
        <v>3139800</v>
      </c>
      <c r="T16" s="253"/>
      <c r="U16" s="259"/>
      <c r="V16" s="260"/>
      <c r="W16" s="260"/>
      <c r="X16" s="260"/>
      <c r="Y16" s="28" t="b">
        <f>L16=SUM(O16:X16)</f>
        <v>1</v>
      </c>
      <c r="Z16" s="139">
        <f>ROUND(L16/K16,4)</f>
        <v>0.6</v>
      </c>
      <c r="AA16" s="140" t="b">
        <f>Z16=N16</f>
        <v>1</v>
      </c>
      <c r="AB16" s="140" t="b">
        <f>K16=L16+M16</f>
        <v>1</v>
      </c>
    </row>
    <row r="17" spans="1:28" s="20" customFormat="1" ht="36.75" customHeight="1">
      <c r="A17" s="243">
        <v>15</v>
      </c>
      <c r="B17" s="243">
        <v>323</v>
      </c>
      <c r="C17" s="243" t="s">
        <v>61</v>
      </c>
      <c r="D17" s="243" t="s">
        <v>86</v>
      </c>
      <c r="E17" s="248">
        <v>2012072</v>
      </c>
      <c r="F17" s="243" t="s">
        <v>54</v>
      </c>
      <c r="G17" s="250" t="s">
        <v>403</v>
      </c>
      <c r="H17" s="246" t="s">
        <v>49</v>
      </c>
      <c r="I17" s="247">
        <v>2.78</v>
      </c>
      <c r="J17" s="243" t="s">
        <v>404</v>
      </c>
      <c r="K17" s="269">
        <v>3332055</v>
      </c>
      <c r="L17" s="270">
        <f t="shared" ref="L17:L35" si="13">ROUNDDOWN(K17*N17,2)</f>
        <v>1999233</v>
      </c>
      <c r="M17" s="269">
        <f t="shared" ref="M17:M35" si="14">K17-L17</f>
        <v>1332822</v>
      </c>
      <c r="N17" s="256">
        <v>0.6</v>
      </c>
      <c r="O17" s="253">
        <v>0</v>
      </c>
      <c r="P17" s="253">
        <v>0</v>
      </c>
      <c r="Q17" s="254">
        <v>0</v>
      </c>
      <c r="R17" s="263">
        <v>0</v>
      </c>
      <c r="S17" s="253">
        <f>1110050*N17</f>
        <v>666030</v>
      </c>
      <c r="T17" s="253">
        <f>2222005*N17</f>
        <v>1333203</v>
      </c>
      <c r="U17" s="200"/>
      <c r="V17" s="260"/>
      <c r="W17" s="260"/>
      <c r="X17" s="260"/>
      <c r="Y17" s="28" t="b">
        <f t="shared" ref="Y17:Y43" si="15">L17=SUM(O17:X17)</f>
        <v>1</v>
      </c>
      <c r="Z17" s="139">
        <f t="shared" ref="Z17:Z57" si="16">ROUND(L17/K17,4)</f>
        <v>0.6</v>
      </c>
      <c r="AA17" s="140" t="b">
        <f t="shared" ref="AA17:AA43" si="17">Z17=N17</f>
        <v>1</v>
      </c>
      <c r="AB17" s="140" t="b">
        <f t="shared" ref="AB17:AB57" si="18">K17=L17+M17</f>
        <v>1</v>
      </c>
    </row>
    <row r="18" spans="1:28" s="20" customFormat="1" ht="36.75" customHeight="1">
      <c r="A18" s="243">
        <v>16</v>
      </c>
      <c r="B18" s="243">
        <v>75</v>
      </c>
      <c r="C18" s="243" t="s">
        <v>61</v>
      </c>
      <c r="D18" s="243" t="s">
        <v>406</v>
      </c>
      <c r="E18" s="248">
        <v>2008052</v>
      </c>
      <c r="F18" s="243" t="s">
        <v>56</v>
      </c>
      <c r="G18" s="250" t="s">
        <v>407</v>
      </c>
      <c r="H18" s="246" t="s">
        <v>48</v>
      </c>
      <c r="I18" s="247">
        <v>2.3319999999999999</v>
      </c>
      <c r="J18" s="243" t="s">
        <v>408</v>
      </c>
      <c r="K18" s="269">
        <v>5833000</v>
      </c>
      <c r="L18" s="270">
        <f t="shared" si="13"/>
        <v>3499800</v>
      </c>
      <c r="M18" s="269">
        <f t="shared" si="14"/>
        <v>2333200</v>
      </c>
      <c r="N18" s="256">
        <v>0.6</v>
      </c>
      <c r="O18" s="253">
        <v>0</v>
      </c>
      <c r="P18" s="253">
        <v>0</v>
      </c>
      <c r="Q18" s="254">
        <v>0</v>
      </c>
      <c r="R18" s="263">
        <v>0</v>
      </c>
      <c r="S18" s="253">
        <f>2933000*N18</f>
        <v>1759800</v>
      </c>
      <c r="T18" s="253">
        <f>2900000*N18</f>
        <v>1740000</v>
      </c>
      <c r="U18" s="228"/>
      <c r="V18" s="260"/>
      <c r="W18" s="260"/>
      <c r="X18" s="260"/>
      <c r="Y18" s="28" t="b">
        <f t="shared" si="15"/>
        <v>1</v>
      </c>
      <c r="Z18" s="139">
        <f t="shared" si="16"/>
        <v>0.6</v>
      </c>
      <c r="AA18" s="140" t="b">
        <f t="shared" si="17"/>
        <v>1</v>
      </c>
      <c r="AB18" s="140" t="b">
        <f t="shared" si="18"/>
        <v>1</v>
      </c>
    </row>
    <row r="19" spans="1:28" s="205" customFormat="1" ht="36.75" customHeight="1">
      <c r="A19" s="185">
        <v>17</v>
      </c>
      <c r="B19" s="241">
        <v>143</v>
      </c>
      <c r="C19" s="185" t="s">
        <v>73</v>
      </c>
      <c r="D19" s="185" t="s">
        <v>414</v>
      </c>
      <c r="E19" s="242">
        <v>2002073</v>
      </c>
      <c r="F19" s="185" t="s">
        <v>50</v>
      </c>
      <c r="G19" s="186" t="s">
        <v>415</v>
      </c>
      <c r="H19" s="182" t="s">
        <v>49</v>
      </c>
      <c r="I19" s="187">
        <v>8.0519999999999996</v>
      </c>
      <c r="J19" s="188" t="s">
        <v>349</v>
      </c>
      <c r="K19" s="271">
        <v>6246337</v>
      </c>
      <c r="L19" s="272">
        <f>ROUNDDOWN(K19*N19,2)</f>
        <v>3747802.2</v>
      </c>
      <c r="M19" s="271">
        <f>K19-L19</f>
        <v>2498534.7999999998</v>
      </c>
      <c r="N19" s="258">
        <v>0.6</v>
      </c>
      <c r="O19" s="199">
        <v>0</v>
      </c>
      <c r="P19" s="199">
        <v>0</v>
      </c>
      <c r="Q19" s="208">
        <v>0</v>
      </c>
      <c r="R19" s="162">
        <v>0</v>
      </c>
      <c r="S19" s="199">
        <f>L19</f>
        <v>3747802.2</v>
      </c>
      <c r="T19" s="199"/>
      <c r="U19" s="200"/>
      <c r="V19" s="260"/>
      <c r="W19" s="260"/>
      <c r="X19" s="260"/>
      <c r="Y19" s="28" t="b">
        <f>L19=SUM(O19:X19)</f>
        <v>1</v>
      </c>
      <c r="Z19" s="139">
        <f t="shared" si="16"/>
        <v>0.6</v>
      </c>
      <c r="AA19" s="140" t="b">
        <f t="shared" si="17"/>
        <v>1</v>
      </c>
      <c r="AB19" s="140" t="b">
        <f t="shared" si="18"/>
        <v>1</v>
      </c>
    </row>
    <row r="20" spans="1:28" s="20" customFormat="1" ht="36.75" customHeight="1">
      <c r="A20" s="243">
        <v>18</v>
      </c>
      <c r="B20" s="243">
        <v>161</v>
      </c>
      <c r="C20" s="243" t="s">
        <v>61</v>
      </c>
      <c r="D20" s="243" t="s">
        <v>416</v>
      </c>
      <c r="E20" s="248">
        <v>2011083</v>
      </c>
      <c r="F20" s="243" t="s">
        <v>51</v>
      </c>
      <c r="G20" s="250" t="s">
        <v>417</v>
      </c>
      <c r="H20" s="249" t="s">
        <v>49</v>
      </c>
      <c r="I20" s="189">
        <v>1.855</v>
      </c>
      <c r="J20" s="243" t="s">
        <v>418</v>
      </c>
      <c r="K20" s="270">
        <v>6773104.7800000003</v>
      </c>
      <c r="L20" s="270">
        <f t="shared" si="13"/>
        <v>4063862.86</v>
      </c>
      <c r="M20" s="269">
        <f t="shared" si="14"/>
        <v>2709241.9200000004</v>
      </c>
      <c r="N20" s="256">
        <v>0.6</v>
      </c>
      <c r="O20" s="253">
        <v>0</v>
      </c>
      <c r="P20" s="253">
        <v>0</v>
      </c>
      <c r="Q20" s="254">
        <v>0</v>
      </c>
      <c r="R20" s="263">
        <v>0</v>
      </c>
      <c r="S20" s="253">
        <f>ROUNDDOWN(3386552.39*N20,2)</f>
        <v>2031931.43</v>
      </c>
      <c r="T20" s="253">
        <f>ROUNDDOWN(3386552.39*N20,2)</f>
        <v>2031931.43</v>
      </c>
      <c r="U20" s="259"/>
      <c r="V20" s="260"/>
      <c r="W20" s="260"/>
      <c r="X20" s="260"/>
      <c r="Y20" s="28" t="b">
        <f t="shared" si="15"/>
        <v>1</v>
      </c>
      <c r="Z20" s="139">
        <f t="shared" si="16"/>
        <v>0.6</v>
      </c>
      <c r="AA20" s="140" t="b">
        <f t="shared" si="17"/>
        <v>1</v>
      </c>
      <c r="AB20" s="140" t="b">
        <f t="shared" si="18"/>
        <v>1</v>
      </c>
    </row>
    <row r="21" spans="1:28" s="20" customFormat="1" ht="36.75" customHeight="1">
      <c r="A21" s="243">
        <v>19</v>
      </c>
      <c r="B21" s="243">
        <v>157</v>
      </c>
      <c r="C21" s="243" t="s">
        <v>61</v>
      </c>
      <c r="D21" s="243" t="s">
        <v>66</v>
      </c>
      <c r="E21" s="248">
        <v>2002112</v>
      </c>
      <c r="F21" s="243" t="s">
        <v>50</v>
      </c>
      <c r="G21" s="250" t="s">
        <v>390</v>
      </c>
      <c r="H21" s="246" t="s">
        <v>49</v>
      </c>
      <c r="I21" s="247">
        <v>1.81</v>
      </c>
      <c r="J21" s="262" t="s">
        <v>320</v>
      </c>
      <c r="K21" s="269">
        <v>4566982</v>
      </c>
      <c r="L21" s="270">
        <f t="shared" si="13"/>
        <v>2740189.2</v>
      </c>
      <c r="M21" s="269">
        <f t="shared" si="14"/>
        <v>1826792.7999999998</v>
      </c>
      <c r="N21" s="256">
        <v>0.6</v>
      </c>
      <c r="O21" s="253">
        <v>0</v>
      </c>
      <c r="P21" s="253">
        <v>0</v>
      </c>
      <c r="Q21" s="254">
        <v>0</v>
      </c>
      <c r="R21" s="263">
        <v>0</v>
      </c>
      <c r="S21" s="253">
        <f>2000*N21</f>
        <v>1200</v>
      </c>
      <c r="T21" s="253">
        <f>4564982*N21</f>
        <v>2738989.1999999997</v>
      </c>
      <c r="U21" s="259"/>
      <c r="V21" s="260"/>
      <c r="W21" s="260"/>
      <c r="X21" s="260"/>
      <c r="Y21" s="28" t="b">
        <f t="shared" si="15"/>
        <v>1</v>
      </c>
      <c r="Z21" s="139">
        <f t="shared" si="16"/>
        <v>0.6</v>
      </c>
      <c r="AA21" s="140" t="b">
        <f t="shared" si="17"/>
        <v>1</v>
      </c>
      <c r="AB21" s="140" t="b">
        <f t="shared" si="18"/>
        <v>1</v>
      </c>
    </row>
    <row r="22" spans="1:28" s="20" customFormat="1" ht="36.75" customHeight="1">
      <c r="A22" s="243">
        <v>20</v>
      </c>
      <c r="B22" s="243">
        <v>209</v>
      </c>
      <c r="C22" s="243" t="s">
        <v>61</v>
      </c>
      <c r="D22" s="243" t="s">
        <v>380</v>
      </c>
      <c r="E22" s="248">
        <v>2002133</v>
      </c>
      <c r="F22" s="243" t="s">
        <v>50</v>
      </c>
      <c r="G22" s="250" t="s">
        <v>420</v>
      </c>
      <c r="H22" s="246" t="s">
        <v>49</v>
      </c>
      <c r="I22" s="247">
        <v>1.5249999999999999</v>
      </c>
      <c r="J22" s="262" t="s">
        <v>320</v>
      </c>
      <c r="K22" s="269">
        <v>9602000</v>
      </c>
      <c r="L22" s="270">
        <f t="shared" si="13"/>
        <v>5761200</v>
      </c>
      <c r="M22" s="269">
        <f t="shared" si="14"/>
        <v>3840800</v>
      </c>
      <c r="N22" s="256">
        <v>0.6</v>
      </c>
      <c r="O22" s="253">
        <v>0</v>
      </c>
      <c r="P22" s="253">
        <v>0</v>
      </c>
      <c r="Q22" s="254">
        <v>0</v>
      </c>
      <c r="R22" s="263">
        <v>0</v>
      </c>
      <c r="S22" s="263">
        <f>4000000*N22</f>
        <v>2400000</v>
      </c>
      <c r="T22" s="253">
        <f>5602000*N22</f>
        <v>3361200</v>
      </c>
      <c r="U22" s="259"/>
      <c r="V22" s="260"/>
      <c r="W22" s="260"/>
      <c r="X22" s="260"/>
      <c r="Y22" s="28" t="b">
        <f t="shared" si="15"/>
        <v>1</v>
      </c>
      <c r="Z22" s="139">
        <f t="shared" si="16"/>
        <v>0.6</v>
      </c>
      <c r="AA22" s="140" t="b">
        <f t="shared" si="17"/>
        <v>1</v>
      </c>
      <c r="AB22" s="140" t="b">
        <f t="shared" si="18"/>
        <v>1</v>
      </c>
    </row>
    <row r="23" spans="1:28" s="20" customFormat="1" ht="37.5" customHeight="1">
      <c r="A23" s="243">
        <v>21</v>
      </c>
      <c r="B23" s="243">
        <v>124</v>
      </c>
      <c r="C23" s="243" t="s">
        <v>61</v>
      </c>
      <c r="D23" s="243" t="s">
        <v>379</v>
      </c>
      <c r="E23" s="248">
        <v>2002013</v>
      </c>
      <c r="F23" s="243" t="s">
        <v>50</v>
      </c>
      <c r="G23" s="250" t="s">
        <v>412</v>
      </c>
      <c r="H23" s="246" t="s">
        <v>49</v>
      </c>
      <c r="I23" s="247">
        <v>1.7529999999999999</v>
      </c>
      <c r="J23" s="262" t="s">
        <v>413</v>
      </c>
      <c r="K23" s="269">
        <v>4532528.8099999996</v>
      </c>
      <c r="L23" s="270">
        <f>ROUNDDOWN(K23*N23,2)</f>
        <v>2719517.28</v>
      </c>
      <c r="M23" s="269">
        <f>K23-L23</f>
        <v>1813011.5299999998</v>
      </c>
      <c r="N23" s="256">
        <v>0.6</v>
      </c>
      <c r="O23" s="253">
        <v>0</v>
      </c>
      <c r="P23" s="253">
        <v>0</v>
      </c>
      <c r="Q23" s="254">
        <v>0</v>
      </c>
      <c r="R23" s="263">
        <v>0</v>
      </c>
      <c r="S23" s="253">
        <f>ROUNDDOWN(163013.5*N23,2)</f>
        <v>97808.1</v>
      </c>
      <c r="T23" s="253">
        <f>ROUNDDOWN(4369515.31*N23,2)</f>
        <v>2621709.1800000002</v>
      </c>
      <c r="U23" s="259"/>
      <c r="V23" s="260"/>
      <c r="W23" s="260"/>
      <c r="X23" s="260"/>
      <c r="Y23" s="28" t="b">
        <f>L23=SUM(O23:X23)</f>
        <v>1</v>
      </c>
      <c r="Z23" s="139">
        <f t="shared" si="16"/>
        <v>0.6</v>
      </c>
      <c r="AA23" s="140" t="b">
        <f t="shared" si="17"/>
        <v>1</v>
      </c>
      <c r="AB23" s="140" t="b">
        <f t="shared" si="18"/>
        <v>1</v>
      </c>
    </row>
    <row r="24" spans="1:28" s="20" customFormat="1" ht="36.75" customHeight="1">
      <c r="A24" s="243">
        <v>22</v>
      </c>
      <c r="B24" s="243">
        <v>289</v>
      </c>
      <c r="C24" s="243" t="s">
        <v>61</v>
      </c>
      <c r="D24" s="243" t="s">
        <v>370</v>
      </c>
      <c r="E24" s="248">
        <v>2006022</v>
      </c>
      <c r="F24" s="243" t="s">
        <v>90</v>
      </c>
      <c r="G24" s="250" t="s">
        <v>398</v>
      </c>
      <c r="H24" s="246" t="s">
        <v>48</v>
      </c>
      <c r="I24" s="247">
        <v>1.4430000000000001</v>
      </c>
      <c r="J24" s="262" t="s">
        <v>399</v>
      </c>
      <c r="K24" s="269">
        <v>1951013.67</v>
      </c>
      <c r="L24" s="270">
        <f t="shared" si="13"/>
        <v>1170608.2</v>
      </c>
      <c r="M24" s="269">
        <f t="shared" si="14"/>
        <v>780405.47</v>
      </c>
      <c r="N24" s="256">
        <v>0.6</v>
      </c>
      <c r="O24" s="253">
        <v>0</v>
      </c>
      <c r="P24" s="253">
        <v>0</v>
      </c>
      <c r="Q24" s="254">
        <v>0</v>
      </c>
      <c r="R24" s="263">
        <v>0</v>
      </c>
      <c r="S24" s="253">
        <f>ROUNDDOWN(3000*N24,2)</f>
        <v>1800</v>
      </c>
      <c r="T24" s="253">
        <f>ROUNDDOWN(974006.84*N24,2)</f>
        <v>584404.1</v>
      </c>
      <c r="U24" s="253">
        <f>ROUNDUP(974006.83*N24,2)</f>
        <v>584404.1</v>
      </c>
      <c r="V24" s="260"/>
      <c r="W24" s="260"/>
      <c r="X24" s="260"/>
      <c r="Y24" s="28" t="b">
        <f t="shared" si="15"/>
        <v>1</v>
      </c>
      <c r="Z24" s="139">
        <f t="shared" si="16"/>
        <v>0.6</v>
      </c>
      <c r="AA24" s="140" t="b">
        <f t="shared" si="17"/>
        <v>1</v>
      </c>
      <c r="AB24" s="140" t="b">
        <f t="shared" si="18"/>
        <v>1</v>
      </c>
    </row>
    <row r="25" spans="1:28" s="20" customFormat="1" ht="36.75" customHeight="1">
      <c r="A25" s="243">
        <v>23</v>
      </c>
      <c r="B25" s="243">
        <v>111</v>
      </c>
      <c r="C25" s="243" t="s">
        <v>61</v>
      </c>
      <c r="D25" s="243" t="s">
        <v>409</v>
      </c>
      <c r="E25" s="248">
        <v>2002032</v>
      </c>
      <c r="F25" s="243" t="s">
        <v>50</v>
      </c>
      <c r="G25" s="250" t="s">
        <v>410</v>
      </c>
      <c r="H25" s="246" t="s">
        <v>49</v>
      </c>
      <c r="I25" s="247">
        <v>1.41</v>
      </c>
      <c r="J25" s="262" t="s">
        <v>411</v>
      </c>
      <c r="K25" s="269">
        <v>4272109</v>
      </c>
      <c r="L25" s="270">
        <f t="shared" si="13"/>
        <v>2563265.4</v>
      </c>
      <c r="M25" s="269">
        <f t="shared" si="14"/>
        <v>1708843.6</v>
      </c>
      <c r="N25" s="256">
        <v>0.6</v>
      </c>
      <c r="O25" s="253">
        <v>0</v>
      </c>
      <c r="P25" s="253">
        <v>0</v>
      </c>
      <c r="Q25" s="254">
        <v>0</v>
      </c>
      <c r="R25" s="263">
        <v>0</v>
      </c>
      <c r="S25" s="253">
        <f>73800*N25</f>
        <v>44280</v>
      </c>
      <c r="T25" s="253">
        <f>4198309*N25</f>
        <v>2518985.4</v>
      </c>
      <c r="U25" s="259"/>
      <c r="V25" s="260"/>
      <c r="W25" s="260"/>
      <c r="X25" s="260"/>
      <c r="Y25" s="28" t="b">
        <f t="shared" si="15"/>
        <v>1</v>
      </c>
      <c r="Z25" s="139">
        <f t="shared" si="16"/>
        <v>0.6</v>
      </c>
      <c r="AA25" s="140" t="b">
        <f t="shared" si="17"/>
        <v>1</v>
      </c>
      <c r="AB25" s="140" t="b">
        <f t="shared" si="18"/>
        <v>1</v>
      </c>
    </row>
    <row r="26" spans="1:28" s="20" customFormat="1" ht="39.75" customHeight="1">
      <c r="A26" s="243">
        <v>24</v>
      </c>
      <c r="B26" s="243">
        <v>229</v>
      </c>
      <c r="C26" s="243" t="s">
        <v>61</v>
      </c>
      <c r="D26" s="243" t="s">
        <v>163</v>
      </c>
      <c r="E26" s="248">
        <v>2002063</v>
      </c>
      <c r="F26" s="243" t="s">
        <v>50</v>
      </c>
      <c r="G26" s="250" t="s">
        <v>394</v>
      </c>
      <c r="H26" s="246" t="s">
        <v>49</v>
      </c>
      <c r="I26" s="247">
        <v>1.335</v>
      </c>
      <c r="J26" s="262" t="s">
        <v>395</v>
      </c>
      <c r="K26" s="269">
        <v>8823200</v>
      </c>
      <c r="L26" s="270">
        <f t="shared" si="13"/>
        <v>5293920</v>
      </c>
      <c r="M26" s="269">
        <f t="shared" si="14"/>
        <v>3529280</v>
      </c>
      <c r="N26" s="256">
        <v>0.6</v>
      </c>
      <c r="O26" s="253">
        <v>0</v>
      </c>
      <c r="P26" s="253">
        <v>0</v>
      </c>
      <c r="Q26" s="254">
        <v>0</v>
      </c>
      <c r="R26" s="263">
        <v>0</v>
      </c>
      <c r="S26" s="263">
        <f>943200*N26</f>
        <v>565920</v>
      </c>
      <c r="T26" s="253">
        <f>1940000*N26</f>
        <v>1164000</v>
      </c>
      <c r="U26" s="253">
        <f>5940000*N26</f>
        <v>3564000</v>
      </c>
      <c r="V26" s="260"/>
      <c r="W26" s="260"/>
      <c r="X26" s="260"/>
      <c r="Y26" s="28" t="b">
        <f t="shared" si="15"/>
        <v>1</v>
      </c>
      <c r="Z26" s="139">
        <f t="shared" si="16"/>
        <v>0.6</v>
      </c>
      <c r="AA26" s="140" t="b">
        <f t="shared" si="17"/>
        <v>1</v>
      </c>
      <c r="AB26" s="140" t="b">
        <f t="shared" si="18"/>
        <v>1</v>
      </c>
    </row>
    <row r="27" spans="1:28" s="170" customFormat="1" ht="37.5" customHeight="1">
      <c r="A27" s="185">
        <v>25</v>
      </c>
      <c r="B27" s="185">
        <v>48</v>
      </c>
      <c r="C27" s="185" t="s">
        <v>73</v>
      </c>
      <c r="D27" s="185" t="s">
        <v>165</v>
      </c>
      <c r="E27" s="242">
        <v>2011052</v>
      </c>
      <c r="F27" s="185" t="s">
        <v>51</v>
      </c>
      <c r="G27" s="234" t="s">
        <v>315</v>
      </c>
      <c r="H27" s="182" t="s">
        <v>48</v>
      </c>
      <c r="I27" s="187">
        <v>0.14099999999999999</v>
      </c>
      <c r="J27" s="241" t="s">
        <v>309</v>
      </c>
      <c r="K27" s="271">
        <v>575871.74</v>
      </c>
      <c r="L27" s="272">
        <f>ROUNDDOWN(K27*N27,2)</f>
        <v>345523.04</v>
      </c>
      <c r="M27" s="271">
        <f>K27-L27</f>
        <v>230348.7</v>
      </c>
      <c r="N27" s="258">
        <v>0.6</v>
      </c>
      <c r="O27" s="199">
        <v>0</v>
      </c>
      <c r="P27" s="199">
        <v>0</v>
      </c>
      <c r="Q27" s="208">
        <v>0</v>
      </c>
      <c r="R27" s="199">
        <v>0</v>
      </c>
      <c r="S27" s="199">
        <f>L27</f>
        <v>345523.04</v>
      </c>
      <c r="T27" s="199"/>
      <c r="U27" s="200"/>
      <c r="V27" s="207"/>
      <c r="W27" s="207"/>
      <c r="X27" s="207"/>
      <c r="Y27" s="28" t="b">
        <f>L27=SUM(O27:X27)</f>
        <v>1</v>
      </c>
      <c r="Z27" s="139">
        <f t="shared" si="16"/>
        <v>0.6</v>
      </c>
      <c r="AA27" s="140" t="b">
        <f t="shared" si="17"/>
        <v>1</v>
      </c>
      <c r="AB27" s="140" t="b">
        <f t="shared" si="18"/>
        <v>1</v>
      </c>
    </row>
    <row r="28" spans="1:28" s="170" customFormat="1" ht="37.5" customHeight="1">
      <c r="A28" s="243">
        <v>26</v>
      </c>
      <c r="B28" s="243">
        <v>119</v>
      </c>
      <c r="C28" s="243" t="s">
        <v>61</v>
      </c>
      <c r="D28" s="243" t="s">
        <v>379</v>
      </c>
      <c r="E28" s="248">
        <v>2002013</v>
      </c>
      <c r="F28" s="244" t="s">
        <v>50</v>
      </c>
      <c r="G28" s="245" t="s">
        <v>478</v>
      </c>
      <c r="H28" s="246" t="s">
        <v>49</v>
      </c>
      <c r="I28" s="247">
        <v>1.1499999999999999</v>
      </c>
      <c r="J28" s="255" t="s">
        <v>479</v>
      </c>
      <c r="K28" s="269">
        <v>8538132.3100000005</v>
      </c>
      <c r="L28" s="270">
        <f>ROUNDDOWN(K28*N28,2)</f>
        <v>5122879.38</v>
      </c>
      <c r="M28" s="269">
        <f>K28-L28</f>
        <v>3415252.9300000006</v>
      </c>
      <c r="N28" s="256">
        <v>0.6</v>
      </c>
      <c r="O28" s="253">
        <v>0</v>
      </c>
      <c r="P28" s="253">
        <v>0</v>
      </c>
      <c r="Q28" s="254">
        <v>0</v>
      </c>
      <c r="R28" s="253">
        <v>0</v>
      </c>
      <c r="S28" s="253">
        <f>ROUNDDOWN(418273.8*N28,2)</f>
        <v>250964.28</v>
      </c>
      <c r="T28" s="253">
        <f>ROUNDDOWN(8119858.51*N28,2)</f>
        <v>4871915.0999999996</v>
      </c>
      <c r="U28" s="200"/>
      <c r="V28" s="207"/>
      <c r="W28" s="207"/>
      <c r="X28" s="207"/>
      <c r="Y28" s="28" t="b">
        <f t="shared" si="15"/>
        <v>1</v>
      </c>
      <c r="Z28" s="139">
        <f t="shared" si="16"/>
        <v>0.6</v>
      </c>
      <c r="AA28" s="140" t="b">
        <f t="shared" si="17"/>
        <v>1</v>
      </c>
      <c r="AB28" s="140" t="b">
        <f t="shared" si="18"/>
        <v>1</v>
      </c>
    </row>
    <row r="29" spans="1:28" s="20" customFormat="1" ht="36.75" customHeight="1">
      <c r="A29" s="185">
        <v>27</v>
      </c>
      <c r="B29" s="241">
        <v>110</v>
      </c>
      <c r="C29" s="185" t="s">
        <v>73</v>
      </c>
      <c r="D29" s="185" t="s">
        <v>96</v>
      </c>
      <c r="E29" s="242">
        <v>2010082</v>
      </c>
      <c r="F29" s="185" t="s">
        <v>59</v>
      </c>
      <c r="G29" s="186" t="s">
        <v>386</v>
      </c>
      <c r="H29" s="182" t="s">
        <v>49</v>
      </c>
      <c r="I29" s="187">
        <v>1.0149999999999999</v>
      </c>
      <c r="J29" s="188" t="s">
        <v>387</v>
      </c>
      <c r="K29" s="271">
        <v>1598573.45</v>
      </c>
      <c r="L29" s="272">
        <f t="shared" si="13"/>
        <v>959144.07</v>
      </c>
      <c r="M29" s="271">
        <f t="shared" si="14"/>
        <v>639429.38</v>
      </c>
      <c r="N29" s="258">
        <v>0.6</v>
      </c>
      <c r="O29" s="199">
        <v>0</v>
      </c>
      <c r="P29" s="199">
        <v>0</v>
      </c>
      <c r="Q29" s="208">
        <v>0</v>
      </c>
      <c r="R29" s="162">
        <v>0</v>
      </c>
      <c r="S29" s="199">
        <f>L29</f>
        <v>959144.07</v>
      </c>
      <c r="T29" s="253"/>
      <c r="U29" s="259"/>
      <c r="V29" s="260"/>
      <c r="W29" s="260"/>
      <c r="X29" s="260"/>
      <c r="Y29" s="28" t="b">
        <f t="shared" si="15"/>
        <v>1</v>
      </c>
      <c r="Z29" s="139">
        <f t="shared" si="16"/>
        <v>0.6</v>
      </c>
      <c r="AA29" s="140" t="b">
        <f t="shared" si="17"/>
        <v>1</v>
      </c>
      <c r="AB29" s="140" t="b">
        <f t="shared" si="18"/>
        <v>1</v>
      </c>
    </row>
    <row r="30" spans="1:28" s="4" customFormat="1" ht="36.75" customHeight="1">
      <c r="A30" s="243">
        <v>28</v>
      </c>
      <c r="B30" s="243">
        <v>117</v>
      </c>
      <c r="C30" s="243" t="s">
        <v>61</v>
      </c>
      <c r="D30" s="243" t="s">
        <v>379</v>
      </c>
      <c r="E30" s="248">
        <v>2002013</v>
      </c>
      <c r="F30" s="244" t="s">
        <v>50</v>
      </c>
      <c r="G30" s="245" t="s">
        <v>480</v>
      </c>
      <c r="H30" s="246" t="s">
        <v>49</v>
      </c>
      <c r="I30" s="247">
        <v>0.99</v>
      </c>
      <c r="J30" s="261" t="s">
        <v>383</v>
      </c>
      <c r="K30" s="269">
        <v>5636413.5</v>
      </c>
      <c r="L30" s="270">
        <f>ROUNDDOWN(K30*N30,2)</f>
        <v>3381848.1</v>
      </c>
      <c r="M30" s="269">
        <f>K30-L30</f>
        <v>2254565.4</v>
      </c>
      <c r="N30" s="256">
        <v>0.6</v>
      </c>
      <c r="O30" s="253">
        <v>0</v>
      </c>
      <c r="P30" s="253">
        <v>0</v>
      </c>
      <c r="Q30" s="254">
        <v>0</v>
      </c>
      <c r="R30" s="263">
        <v>0</v>
      </c>
      <c r="S30" s="253">
        <f>3013.5*N30</f>
        <v>1808.1</v>
      </c>
      <c r="T30" s="253">
        <f>5633400*N30</f>
        <v>3380040</v>
      </c>
      <c r="U30" s="259"/>
      <c r="V30" s="260"/>
      <c r="W30" s="260"/>
      <c r="X30" s="260"/>
      <c r="Y30" s="28" t="b">
        <f>L30=SUM(O30:X30)</f>
        <v>1</v>
      </c>
      <c r="Z30" s="139">
        <f t="shared" si="16"/>
        <v>0.6</v>
      </c>
      <c r="AA30" s="140" t="b">
        <f t="shared" si="17"/>
        <v>1</v>
      </c>
      <c r="AB30" s="140" t="b">
        <f t="shared" si="18"/>
        <v>1</v>
      </c>
    </row>
    <row r="31" spans="1:28" s="4" customFormat="1" ht="36.75" customHeight="1">
      <c r="A31" s="185">
        <v>29</v>
      </c>
      <c r="B31" s="185">
        <v>274</v>
      </c>
      <c r="C31" s="185" t="s">
        <v>73</v>
      </c>
      <c r="D31" s="185" t="s">
        <v>161</v>
      </c>
      <c r="E31" s="242">
        <v>2013033</v>
      </c>
      <c r="F31" s="185" t="s">
        <v>55</v>
      </c>
      <c r="G31" s="186" t="s">
        <v>396</v>
      </c>
      <c r="H31" s="182" t="s">
        <v>49</v>
      </c>
      <c r="I31" s="187">
        <v>0.313</v>
      </c>
      <c r="J31" s="188" t="s">
        <v>365</v>
      </c>
      <c r="K31" s="271">
        <v>745651.39</v>
      </c>
      <c r="L31" s="272">
        <f>ROUNDDOWN(K31*N31,2)</f>
        <v>447390.83</v>
      </c>
      <c r="M31" s="271">
        <f>K31-L31</f>
        <v>298260.56</v>
      </c>
      <c r="N31" s="258">
        <v>0.6</v>
      </c>
      <c r="O31" s="199">
        <v>0</v>
      </c>
      <c r="P31" s="199">
        <v>0</v>
      </c>
      <c r="Q31" s="208">
        <v>0</v>
      </c>
      <c r="R31" s="162">
        <v>0</v>
      </c>
      <c r="S31" s="226">
        <f>L31</f>
        <v>447390.83</v>
      </c>
      <c r="T31" s="226"/>
      <c r="U31" s="228"/>
      <c r="V31" s="260"/>
      <c r="W31" s="260"/>
      <c r="X31" s="260"/>
      <c r="Y31" s="28" t="b">
        <f>L31=SUM(O31:X31)</f>
        <v>1</v>
      </c>
      <c r="Z31" s="139">
        <f t="shared" si="16"/>
        <v>0.6</v>
      </c>
      <c r="AA31" s="140" t="b">
        <f t="shared" si="17"/>
        <v>1</v>
      </c>
      <c r="AB31" s="140" t="b">
        <f t="shared" si="18"/>
        <v>1</v>
      </c>
    </row>
    <row r="32" spans="1:28" s="20" customFormat="1" ht="36.75" customHeight="1">
      <c r="A32" s="243">
        <v>30</v>
      </c>
      <c r="B32" s="243">
        <v>213</v>
      </c>
      <c r="C32" s="243" t="s">
        <v>61</v>
      </c>
      <c r="D32" s="243" t="s">
        <v>163</v>
      </c>
      <c r="E32" s="248">
        <v>2002063</v>
      </c>
      <c r="F32" s="243" t="s">
        <v>50</v>
      </c>
      <c r="G32" s="250" t="s">
        <v>392</v>
      </c>
      <c r="H32" s="246" t="s">
        <v>48</v>
      </c>
      <c r="I32" s="247">
        <v>0.69</v>
      </c>
      <c r="J32" s="262" t="s">
        <v>393</v>
      </c>
      <c r="K32" s="269">
        <v>12743200</v>
      </c>
      <c r="L32" s="270">
        <f t="shared" si="13"/>
        <v>7645920</v>
      </c>
      <c r="M32" s="269">
        <f t="shared" si="14"/>
        <v>5097280</v>
      </c>
      <c r="N32" s="256">
        <v>0.6</v>
      </c>
      <c r="O32" s="253">
        <v>0</v>
      </c>
      <c r="P32" s="253">
        <v>0</v>
      </c>
      <c r="Q32" s="254">
        <v>0</v>
      </c>
      <c r="R32" s="263">
        <v>0</v>
      </c>
      <c r="S32" s="263">
        <f>943200*N32</f>
        <v>565920</v>
      </c>
      <c r="T32" s="253">
        <f>1900000*N32</f>
        <v>1140000</v>
      </c>
      <c r="U32" s="253">
        <f>9900000*N32</f>
        <v>5940000</v>
      </c>
      <c r="V32" s="260"/>
      <c r="W32" s="260"/>
      <c r="X32" s="260"/>
      <c r="Y32" s="28" t="b">
        <f t="shared" si="15"/>
        <v>1</v>
      </c>
      <c r="Z32" s="139">
        <f t="shared" si="16"/>
        <v>0.6</v>
      </c>
      <c r="AA32" s="140" t="b">
        <f t="shared" si="17"/>
        <v>1</v>
      </c>
      <c r="AB32" s="140" t="b">
        <f t="shared" si="18"/>
        <v>1</v>
      </c>
    </row>
    <row r="33" spans="1:28" s="4" customFormat="1" ht="36.75" customHeight="1">
      <c r="A33" s="185">
        <v>31</v>
      </c>
      <c r="B33" s="241">
        <v>78</v>
      </c>
      <c r="C33" s="185" t="s">
        <v>73</v>
      </c>
      <c r="D33" s="185" t="s">
        <v>198</v>
      </c>
      <c r="E33" s="242">
        <v>2006042</v>
      </c>
      <c r="F33" s="185" t="s">
        <v>90</v>
      </c>
      <c r="G33" s="234" t="s">
        <v>382</v>
      </c>
      <c r="H33" s="182" t="s">
        <v>49</v>
      </c>
      <c r="I33" s="187">
        <v>0.54200000000000004</v>
      </c>
      <c r="J33" s="241" t="s">
        <v>324</v>
      </c>
      <c r="K33" s="271">
        <v>574061</v>
      </c>
      <c r="L33" s="272">
        <f t="shared" si="13"/>
        <v>344436.6</v>
      </c>
      <c r="M33" s="271">
        <f t="shared" si="14"/>
        <v>229624.40000000002</v>
      </c>
      <c r="N33" s="258">
        <v>0.6</v>
      </c>
      <c r="O33" s="199">
        <v>0</v>
      </c>
      <c r="P33" s="199">
        <v>0</v>
      </c>
      <c r="Q33" s="208">
        <v>0</v>
      </c>
      <c r="R33" s="162">
        <v>0</v>
      </c>
      <c r="S33" s="199">
        <f>L33</f>
        <v>344436.6</v>
      </c>
      <c r="T33" s="199"/>
      <c r="U33" s="200"/>
      <c r="V33" s="260"/>
      <c r="W33" s="260"/>
      <c r="X33" s="260"/>
      <c r="Y33" s="28" t="b">
        <f t="shared" si="15"/>
        <v>1</v>
      </c>
      <c r="Z33" s="139">
        <f t="shared" si="16"/>
        <v>0.6</v>
      </c>
      <c r="AA33" s="140" t="b">
        <f t="shared" si="17"/>
        <v>1</v>
      </c>
      <c r="AB33" s="140" t="b">
        <f t="shared" si="18"/>
        <v>1</v>
      </c>
    </row>
    <row r="34" spans="1:28" s="4" customFormat="1" ht="36.75" customHeight="1">
      <c r="A34" s="243">
        <v>32</v>
      </c>
      <c r="B34" s="243">
        <v>98</v>
      </c>
      <c r="C34" s="243" t="s">
        <v>61</v>
      </c>
      <c r="D34" s="243" t="s">
        <v>196</v>
      </c>
      <c r="E34" s="248">
        <v>2006011</v>
      </c>
      <c r="F34" s="243" t="s">
        <v>90</v>
      </c>
      <c r="G34" s="250" t="s">
        <v>385</v>
      </c>
      <c r="H34" s="246" t="s">
        <v>49</v>
      </c>
      <c r="I34" s="247">
        <v>0.38500000000000001</v>
      </c>
      <c r="J34" s="243" t="s">
        <v>358</v>
      </c>
      <c r="K34" s="269">
        <v>2176000</v>
      </c>
      <c r="L34" s="270">
        <f t="shared" si="13"/>
        <v>1305600</v>
      </c>
      <c r="M34" s="269">
        <f t="shared" si="14"/>
        <v>870400</v>
      </c>
      <c r="N34" s="256">
        <v>0.6</v>
      </c>
      <c r="O34" s="253">
        <v>0</v>
      </c>
      <c r="P34" s="253">
        <v>0</v>
      </c>
      <c r="Q34" s="254">
        <v>0</v>
      </c>
      <c r="R34" s="263">
        <v>0</v>
      </c>
      <c r="S34" s="253">
        <f>1176000*N34</f>
        <v>705600</v>
      </c>
      <c r="T34" s="253">
        <f>1000000*N34</f>
        <v>600000</v>
      </c>
      <c r="U34" s="259"/>
      <c r="V34" s="260"/>
      <c r="W34" s="260"/>
      <c r="X34" s="260"/>
      <c r="Y34" s="28" t="b">
        <f t="shared" si="15"/>
        <v>1</v>
      </c>
      <c r="Z34" s="139">
        <f t="shared" si="16"/>
        <v>0.6</v>
      </c>
      <c r="AA34" s="140" t="b">
        <f t="shared" si="17"/>
        <v>1</v>
      </c>
      <c r="AB34" s="140" t="b">
        <f t="shared" si="18"/>
        <v>1</v>
      </c>
    </row>
    <row r="35" spans="1:28" s="4" customFormat="1" ht="36.75" customHeight="1">
      <c r="A35" s="185">
        <v>33</v>
      </c>
      <c r="B35" s="241">
        <v>134</v>
      </c>
      <c r="C35" s="185" t="s">
        <v>73</v>
      </c>
      <c r="D35" s="185" t="s">
        <v>199</v>
      </c>
      <c r="E35" s="185">
        <v>2006032</v>
      </c>
      <c r="F35" s="185" t="s">
        <v>90</v>
      </c>
      <c r="G35" s="186" t="s">
        <v>388</v>
      </c>
      <c r="H35" s="196" t="s">
        <v>49</v>
      </c>
      <c r="I35" s="196">
        <v>0.34499999999999997</v>
      </c>
      <c r="J35" s="188" t="s">
        <v>332</v>
      </c>
      <c r="K35" s="272">
        <v>366156.79</v>
      </c>
      <c r="L35" s="272">
        <f t="shared" si="13"/>
        <v>219694.07</v>
      </c>
      <c r="M35" s="271">
        <f t="shared" si="14"/>
        <v>146462.71999999997</v>
      </c>
      <c r="N35" s="258">
        <v>0.6</v>
      </c>
      <c r="O35" s="199">
        <v>0</v>
      </c>
      <c r="P35" s="199">
        <v>0</v>
      </c>
      <c r="Q35" s="208">
        <v>0</v>
      </c>
      <c r="R35" s="162">
        <v>0</v>
      </c>
      <c r="S35" s="199">
        <f t="shared" ref="S35:S38" si="19">L35</f>
        <v>219694.07</v>
      </c>
      <c r="T35" s="253"/>
      <c r="U35" s="259"/>
      <c r="V35" s="260"/>
      <c r="W35" s="260"/>
      <c r="X35" s="260"/>
      <c r="Y35" s="28" t="b">
        <f t="shared" si="15"/>
        <v>1</v>
      </c>
      <c r="Z35" s="139">
        <f t="shared" si="16"/>
        <v>0.6</v>
      </c>
      <c r="AA35" s="140" t="b">
        <f t="shared" si="17"/>
        <v>1</v>
      </c>
      <c r="AB35" s="140" t="b">
        <f t="shared" si="18"/>
        <v>1</v>
      </c>
    </row>
    <row r="36" spans="1:28" s="170" customFormat="1" ht="37.5" customHeight="1">
      <c r="A36" s="185">
        <v>34</v>
      </c>
      <c r="B36" s="241">
        <v>69</v>
      </c>
      <c r="C36" s="185" t="s">
        <v>73</v>
      </c>
      <c r="D36" s="185" t="s">
        <v>106</v>
      </c>
      <c r="E36" s="242">
        <v>2003032</v>
      </c>
      <c r="F36" s="185" t="s">
        <v>53</v>
      </c>
      <c r="G36" s="234" t="s">
        <v>317</v>
      </c>
      <c r="H36" s="182" t="s">
        <v>49</v>
      </c>
      <c r="I36" s="187">
        <v>2.1419999999999999</v>
      </c>
      <c r="J36" s="241" t="s">
        <v>258</v>
      </c>
      <c r="K36" s="271">
        <v>6426347.7199999997</v>
      </c>
      <c r="L36" s="272">
        <f t="shared" ref="L36:L43" si="20">ROUNDDOWN(K36*N36,2)</f>
        <v>3855808.63</v>
      </c>
      <c r="M36" s="271">
        <f t="shared" ref="M36:M43" si="21">K36-L36</f>
        <v>2570539.09</v>
      </c>
      <c r="N36" s="258">
        <v>0.6</v>
      </c>
      <c r="O36" s="199">
        <v>0</v>
      </c>
      <c r="P36" s="199">
        <v>0</v>
      </c>
      <c r="Q36" s="208">
        <v>0</v>
      </c>
      <c r="R36" s="199">
        <v>0</v>
      </c>
      <c r="S36" s="199">
        <f t="shared" si="19"/>
        <v>3855808.63</v>
      </c>
      <c r="T36" s="199"/>
      <c r="U36" s="200"/>
      <c r="V36" s="207"/>
      <c r="W36" s="207"/>
      <c r="X36" s="207"/>
      <c r="Y36" s="28" t="b">
        <f t="shared" si="15"/>
        <v>1</v>
      </c>
      <c r="Z36" s="139">
        <f t="shared" si="16"/>
        <v>0.6</v>
      </c>
      <c r="AA36" s="140" t="b">
        <f t="shared" si="17"/>
        <v>1</v>
      </c>
      <c r="AB36" s="140" t="b">
        <f t="shared" si="18"/>
        <v>1</v>
      </c>
    </row>
    <row r="37" spans="1:28" s="170" customFormat="1" ht="37.5" customHeight="1">
      <c r="A37" s="185">
        <v>35</v>
      </c>
      <c r="B37" s="241">
        <v>326</v>
      </c>
      <c r="C37" s="185" t="s">
        <v>73</v>
      </c>
      <c r="D37" s="185" t="s">
        <v>86</v>
      </c>
      <c r="E37" s="242">
        <v>2012072</v>
      </c>
      <c r="F37" s="185" t="s">
        <v>54</v>
      </c>
      <c r="G37" s="186" t="s">
        <v>368</v>
      </c>
      <c r="H37" s="182" t="s">
        <v>49</v>
      </c>
      <c r="I37" s="187">
        <v>1.27</v>
      </c>
      <c r="J37" s="188" t="s">
        <v>256</v>
      </c>
      <c r="K37" s="271">
        <v>1500000</v>
      </c>
      <c r="L37" s="272">
        <f t="shared" si="20"/>
        <v>900000</v>
      </c>
      <c r="M37" s="271">
        <f t="shared" si="21"/>
        <v>600000</v>
      </c>
      <c r="N37" s="258">
        <v>0.6</v>
      </c>
      <c r="O37" s="199">
        <v>0</v>
      </c>
      <c r="P37" s="199">
        <v>0</v>
      </c>
      <c r="Q37" s="208">
        <v>0</v>
      </c>
      <c r="R37" s="199">
        <v>0</v>
      </c>
      <c r="S37" s="199">
        <f t="shared" si="19"/>
        <v>900000</v>
      </c>
      <c r="T37" s="199"/>
      <c r="U37" s="200"/>
      <c r="V37" s="207"/>
      <c r="W37" s="207"/>
      <c r="X37" s="207"/>
      <c r="Y37" s="28" t="b">
        <f t="shared" si="15"/>
        <v>1</v>
      </c>
      <c r="Z37" s="139">
        <f t="shared" si="16"/>
        <v>0.6</v>
      </c>
      <c r="AA37" s="140" t="b">
        <f t="shared" si="17"/>
        <v>1</v>
      </c>
      <c r="AB37" s="140" t="b">
        <f t="shared" si="18"/>
        <v>1</v>
      </c>
    </row>
    <row r="38" spans="1:28" s="170" customFormat="1" ht="37.5" customHeight="1">
      <c r="A38" s="185">
        <v>36</v>
      </c>
      <c r="B38" s="241">
        <v>321</v>
      </c>
      <c r="C38" s="185" t="s">
        <v>73</v>
      </c>
      <c r="D38" s="185" t="s">
        <v>187</v>
      </c>
      <c r="E38" s="242">
        <v>2012012</v>
      </c>
      <c r="F38" s="185" t="s">
        <v>54</v>
      </c>
      <c r="G38" s="186" t="s">
        <v>367</v>
      </c>
      <c r="H38" s="182" t="s">
        <v>49</v>
      </c>
      <c r="I38" s="187">
        <v>0.7</v>
      </c>
      <c r="J38" s="188" t="s">
        <v>258</v>
      </c>
      <c r="K38" s="271">
        <v>756116.55</v>
      </c>
      <c r="L38" s="272">
        <f t="shared" si="20"/>
        <v>453669.93</v>
      </c>
      <c r="M38" s="271">
        <f t="shared" si="21"/>
        <v>302446.62000000005</v>
      </c>
      <c r="N38" s="258">
        <v>0.6</v>
      </c>
      <c r="O38" s="199">
        <v>0</v>
      </c>
      <c r="P38" s="199">
        <v>0</v>
      </c>
      <c r="Q38" s="208">
        <v>0</v>
      </c>
      <c r="R38" s="199">
        <v>0</v>
      </c>
      <c r="S38" s="199">
        <f t="shared" si="19"/>
        <v>453669.93</v>
      </c>
      <c r="T38" s="199"/>
      <c r="U38" s="200"/>
      <c r="V38" s="207"/>
      <c r="W38" s="207"/>
      <c r="X38" s="207"/>
      <c r="Y38" s="28" t="b">
        <f t="shared" si="15"/>
        <v>1</v>
      </c>
      <c r="Z38" s="139">
        <f t="shared" si="16"/>
        <v>0.6</v>
      </c>
      <c r="AA38" s="140" t="b">
        <f t="shared" si="17"/>
        <v>1</v>
      </c>
      <c r="AB38" s="140" t="b">
        <f t="shared" si="18"/>
        <v>1</v>
      </c>
    </row>
    <row r="39" spans="1:28" s="170" customFormat="1" ht="37.5" customHeight="1">
      <c r="A39" s="185">
        <v>37</v>
      </c>
      <c r="B39" s="243">
        <v>241</v>
      </c>
      <c r="C39" s="243" t="s">
        <v>61</v>
      </c>
      <c r="D39" s="243" t="s">
        <v>492</v>
      </c>
      <c r="E39" s="248" t="s">
        <v>493</v>
      </c>
      <c r="F39" s="244" t="s">
        <v>50</v>
      </c>
      <c r="G39" s="245" t="s">
        <v>494</v>
      </c>
      <c r="H39" s="246" t="s">
        <v>49</v>
      </c>
      <c r="I39" s="247">
        <v>0.41</v>
      </c>
      <c r="J39" s="261" t="s">
        <v>495</v>
      </c>
      <c r="K39" s="269">
        <v>1773000</v>
      </c>
      <c r="L39" s="270">
        <f t="shared" si="20"/>
        <v>1063800</v>
      </c>
      <c r="M39" s="269">
        <f t="shared" si="21"/>
        <v>709200</v>
      </c>
      <c r="N39" s="256">
        <v>0.6</v>
      </c>
      <c r="O39" s="253">
        <v>0</v>
      </c>
      <c r="P39" s="253">
        <v>0</v>
      </c>
      <c r="Q39" s="254">
        <v>0</v>
      </c>
      <c r="R39" s="253">
        <v>0</v>
      </c>
      <c r="S39" s="263">
        <f>70000*N39</f>
        <v>42000</v>
      </c>
      <c r="T39" s="253">
        <f>1703000*N39</f>
        <v>1021800</v>
      </c>
      <c r="U39" s="259"/>
      <c r="V39" s="264"/>
      <c r="W39" s="264"/>
      <c r="X39" s="264"/>
      <c r="Y39" s="28" t="b">
        <f t="shared" si="15"/>
        <v>1</v>
      </c>
      <c r="Z39" s="139">
        <f t="shared" si="16"/>
        <v>0.6</v>
      </c>
      <c r="AA39" s="140" t="b">
        <f t="shared" si="17"/>
        <v>1</v>
      </c>
      <c r="AB39" s="140" t="b">
        <f t="shared" si="18"/>
        <v>1</v>
      </c>
    </row>
    <row r="40" spans="1:28" s="170" customFormat="1" ht="37.5" customHeight="1">
      <c r="A40" s="185">
        <v>38</v>
      </c>
      <c r="B40" s="185">
        <v>7</v>
      </c>
      <c r="C40" s="185" t="s">
        <v>73</v>
      </c>
      <c r="D40" s="185" t="s">
        <v>302</v>
      </c>
      <c r="E40" s="240">
        <v>2003011</v>
      </c>
      <c r="F40" s="185" t="s">
        <v>53</v>
      </c>
      <c r="G40" s="186" t="s">
        <v>303</v>
      </c>
      <c r="H40" s="185" t="s">
        <v>49</v>
      </c>
      <c r="I40" s="187">
        <v>0.40600000000000003</v>
      </c>
      <c r="J40" s="185" t="s">
        <v>304</v>
      </c>
      <c r="K40" s="271">
        <v>2295666.91</v>
      </c>
      <c r="L40" s="272">
        <f>ROUNDDOWN(K40*N40,2)</f>
        <v>1377400.14</v>
      </c>
      <c r="M40" s="271">
        <f>K40-L40</f>
        <v>918266.77000000025</v>
      </c>
      <c r="N40" s="257">
        <v>0.6</v>
      </c>
      <c r="O40" s="199">
        <v>0</v>
      </c>
      <c r="P40" s="199">
        <v>0</v>
      </c>
      <c r="Q40" s="208">
        <v>0</v>
      </c>
      <c r="R40" s="199">
        <v>0</v>
      </c>
      <c r="S40" s="199">
        <f>L40</f>
        <v>1377400.14</v>
      </c>
      <c r="T40" s="199"/>
      <c r="U40" s="200"/>
      <c r="V40" s="207"/>
      <c r="W40" s="207"/>
      <c r="X40" s="207"/>
      <c r="Y40" s="28" t="b">
        <f>L40=SUM(O40:X40)</f>
        <v>1</v>
      </c>
      <c r="Z40" s="139">
        <f t="shared" si="16"/>
        <v>0.6</v>
      </c>
      <c r="AA40" s="140" t="b">
        <f t="shared" si="17"/>
        <v>1</v>
      </c>
      <c r="AB40" s="140" t="b">
        <f t="shared" si="18"/>
        <v>1</v>
      </c>
    </row>
    <row r="41" spans="1:28" s="170" customFormat="1" ht="38.25" customHeight="1">
      <c r="A41" s="185">
        <v>39</v>
      </c>
      <c r="B41" s="241">
        <v>336</v>
      </c>
      <c r="C41" s="185" t="s">
        <v>73</v>
      </c>
      <c r="D41" s="185" t="s">
        <v>431</v>
      </c>
      <c r="E41" s="242">
        <v>2002023</v>
      </c>
      <c r="F41" s="233" t="s">
        <v>50</v>
      </c>
      <c r="G41" s="210" t="s">
        <v>508</v>
      </c>
      <c r="H41" s="182" t="s">
        <v>48</v>
      </c>
      <c r="I41" s="187">
        <v>0.20100000000000001</v>
      </c>
      <c r="J41" s="211" t="s">
        <v>258</v>
      </c>
      <c r="K41" s="271">
        <v>908000</v>
      </c>
      <c r="L41" s="272">
        <f>ROUNDDOWN(K41*N41,2)</f>
        <v>544800</v>
      </c>
      <c r="M41" s="271">
        <f>K41-L41</f>
        <v>363200</v>
      </c>
      <c r="N41" s="257">
        <v>0.6</v>
      </c>
      <c r="O41" s="199">
        <v>0</v>
      </c>
      <c r="P41" s="199">
        <v>0</v>
      </c>
      <c r="Q41" s="208">
        <v>0</v>
      </c>
      <c r="R41" s="199">
        <v>0</v>
      </c>
      <c r="S41" s="199">
        <f>L41</f>
        <v>544800</v>
      </c>
      <c r="T41" s="199"/>
      <c r="U41" s="200"/>
      <c r="V41" s="207"/>
      <c r="W41" s="207"/>
      <c r="X41" s="207"/>
      <c r="Y41" s="28" t="b">
        <f>L41=SUM(O41:X41)</f>
        <v>1</v>
      </c>
      <c r="Z41" s="139">
        <f t="shared" si="16"/>
        <v>0.6</v>
      </c>
      <c r="AA41" s="140" t="b">
        <f t="shared" si="17"/>
        <v>1</v>
      </c>
      <c r="AB41" s="140" t="b">
        <f t="shared" si="18"/>
        <v>1</v>
      </c>
    </row>
    <row r="42" spans="1:28" s="170" customFormat="1" ht="37.5" customHeight="1">
      <c r="A42" s="185">
        <v>40</v>
      </c>
      <c r="B42" s="243">
        <v>83</v>
      </c>
      <c r="C42" s="243" t="s">
        <v>61</v>
      </c>
      <c r="D42" s="243" t="s">
        <v>67</v>
      </c>
      <c r="E42" s="248">
        <v>2014032</v>
      </c>
      <c r="F42" s="244" t="s">
        <v>57</v>
      </c>
      <c r="G42" s="245" t="s">
        <v>499</v>
      </c>
      <c r="H42" s="246" t="s">
        <v>49</v>
      </c>
      <c r="I42" s="247">
        <v>0.187</v>
      </c>
      <c r="J42" s="244" t="s">
        <v>500</v>
      </c>
      <c r="K42" s="269">
        <v>849800</v>
      </c>
      <c r="L42" s="270">
        <f t="shared" si="20"/>
        <v>509880</v>
      </c>
      <c r="M42" s="269">
        <f t="shared" si="21"/>
        <v>339920</v>
      </c>
      <c r="N42" s="256">
        <v>0.6</v>
      </c>
      <c r="O42" s="253">
        <v>0</v>
      </c>
      <c r="P42" s="253">
        <v>0</v>
      </c>
      <c r="Q42" s="254">
        <v>0</v>
      </c>
      <c r="R42" s="253">
        <v>0</v>
      </c>
      <c r="S42" s="253">
        <f>49800*N42</f>
        <v>29880</v>
      </c>
      <c r="T42" s="253">
        <f>800000*N42</f>
        <v>480000</v>
      </c>
      <c r="U42" s="259"/>
      <c r="V42" s="264"/>
      <c r="W42" s="264"/>
      <c r="X42" s="264"/>
      <c r="Y42" s="28" t="b">
        <f t="shared" si="15"/>
        <v>1</v>
      </c>
      <c r="Z42" s="139">
        <f t="shared" si="16"/>
        <v>0.6</v>
      </c>
      <c r="AA42" s="140" t="b">
        <f t="shared" si="17"/>
        <v>1</v>
      </c>
      <c r="AB42" s="140" t="b">
        <f t="shared" si="18"/>
        <v>1</v>
      </c>
    </row>
    <row r="43" spans="1:28" s="170" customFormat="1" ht="37.5" customHeight="1">
      <c r="A43" s="185">
        <v>41</v>
      </c>
      <c r="B43" s="243">
        <v>87</v>
      </c>
      <c r="C43" s="243" t="s">
        <v>61</v>
      </c>
      <c r="D43" s="243" t="s">
        <v>67</v>
      </c>
      <c r="E43" s="248">
        <v>2014032</v>
      </c>
      <c r="F43" s="244" t="s">
        <v>57</v>
      </c>
      <c r="G43" s="245" t="s">
        <v>501</v>
      </c>
      <c r="H43" s="246" t="s">
        <v>49</v>
      </c>
      <c r="I43" s="247">
        <v>0.69299999999999995</v>
      </c>
      <c r="J43" s="244" t="s">
        <v>411</v>
      </c>
      <c r="K43" s="269">
        <v>1712500</v>
      </c>
      <c r="L43" s="270">
        <f t="shared" si="20"/>
        <v>1027500</v>
      </c>
      <c r="M43" s="269">
        <f t="shared" si="21"/>
        <v>685000</v>
      </c>
      <c r="N43" s="256">
        <v>0.6</v>
      </c>
      <c r="O43" s="253">
        <v>0</v>
      </c>
      <c r="P43" s="253">
        <v>0</v>
      </c>
      <c r="Q43" s="254">
        <v>0</v>
      </c>
      <c r="R43" s="253">
        <v>0</v>
      </c>
      <c r="S43" s="253">
        <f>50000*N43</f>
        <v>30000</v>
      </c>
      <c r="T43" s="253">
        <f>1662500*N43</f>
        <v>997500</v>
      </c>
      <c r="U43" s="259"/>
      <c r="V43" s="264"/>
      <c r="W43" s="264"/>
      <c r="X43" s="264"/>
      <c r="Y43" s="28" t="b">
        <f t="shared" si="15"/>
        <v>1</v>
      </c>
      <c r="Z43" s="139">
        <f t="shared" si="16"/>
        <v>0.6</v>
      </c>
      <c r="AA43" s="140" t="b">
        <f t="shared" si="17"/>
        <v>1</v>
      </c>
      <c r="AB43" s="140" t="b">
        <f t="shared" si="18"/>
        <v>1</v>
      </c>
    </row>
    <row r="44" spans="1:28" s="170" customFormat="1" ht="37.5" customHeight="1">
      <c r="A44" s="185">
        <v>42</v>
      </c>
      <c r="B44" s="185">
        <v>138</v>
      </c>
      <c r="C44" s="185" t="s">
        <v>73</v>
      </c>
      <c r="D44" s="185" t="s">
        <v>378</v>
      </c>
      <c r="E44" s="240">
        <v>2014042</v>
      </c>
      <c r="F44" s="233" t="s">
        <v>57</v>
      </c>
      <c r="G44" s="210" t="s">
        <v>485</v>
      </c>
      <c r="H44" s="182" t="s">
        <v>63</v>
      </c>
      <c r="I44" s="187">
        <v>1.871</v>
      </c>
      <c r="J44" s="211" t="s">
        <v>259</v>
      </c>
      <c r="K44" s="271">
        <v>5058350</v>
      </c>
      <c r="L44" s="272">
        <f>ROUNDDOWN(K44*N44,2)</f>
        <v>3035010</v>
      </c>
      <c r="M44" s="271">
        <f>K44-L44</f>
        <v>2023340</v>
      </c>
      <c r="N44" s="258">
        <v>0.6</v>
      </c>
      <c r="O44" s="199">
        <v>0</v>
      </c>
      <c r="P44" s="199">
        <v>0</v>
      </c>
      <c r="Q44" s="208">
        <v>0</v>
      </c>
      <c r="R44" s="199">
        <v>0</v>
      </c>
      <c r="S44" s="199">
        <f>L44</f>
        <v>3035010</v>
      </c>
      <c r="T44" s="199"/>
      <c r="U44" s="259"/>
      <c r="V44" s="264"/>
      <c r="W44" s="264"/>
      <c r="X44" s="264"/>
      <c r="Y44" s="28" t="b">
        <f t="shared" ref="Y44:Y54" si="22">L44=SUM(O44:X44)</f>
        <v>1</v>
      </c>
      <c r="Z44" s="139">
        <f t="shared" ref="Z44:Z54" si="23">ROUND(L44/K44,4)</f>
        <v>0.6</v>
      </c>
      <c r="AA44" s="140" t="b">
        <f t="shared" ref="AA44:AA54" si="24">Z44=N44</f>
        <v>1</v>
      </c>
      <c r="AB44" s="140" t="b">
        <f t="shared" ref="AB44:AB54" si="25">K44=L44+M44</f>
        <v>1</v>
      </c>
    </row>
    <row r="45" spans="1:28" s="308" customFormat="1" ht="37.5" customHeight="1">
      <c r="A45" s="185">
        <v>43</v>
      </c>
      <c r="B45" s="185">
        <v>4</v>
      </c>
      <c r="C45" s="185" t="s">
        <v>73</v>
      </c>
      <c r="D45" s="241" t="s">
        <v>467</v>
      </c>
      <c r="E45" s="242" t="s">
        <v>560</v>
      </c>
      <c r="F45" s="233" t="s">
        <v>55</v>
      </c>
      <c r="G45" s="229" t="s">
        <v>544</v>
      </c>
      <c r="H45" s="241" t="s">
        <v>49</v>
      </c>
      <c r="I45" s="231">
        <v>0.157</v>
      </c>
      <c r="J45" s="232" t="s">
        <v>491</v>
      </c>
      <c r="K45" s="230">
        <v>2101800</v>
      </c>
      <c r="L45" s="272">
        <f t="shared" ref="L45:L51" si="26">ROUNDDOWN(K45*N45,2)</f>
        <v>1261080</v>
      </c>
      <c r="M45" s="271">
        <f t="shared" ref="M45:M51" si="27">K45-L45</f>
        <v>840720</v>
      </c>
      <c r="N45" s="257">
        <v>0.6</v>
      </c>
      <c r="O45" s="199">
        <v>0</v>
      </c>
      <c r="P45" s="199">
        <v>0</v>
      </c>
      <c r="Q45" s="208">
        <v>0</v>
      </c>
      <c r="R45" s="199">
        <v>0</v>
      </c>
      <c r="S45" s="199">
        <f t="shared" ref="S45:S51" si="28">L45</f>
        <v>1261080</v>
      </c>
      <c r="T45" s="199"/>
      <c r="U45" s="200"/>
      <c r="V45" s="207"/>
      <c r="W45" s="207"/>
      <c r="X45" s="207"/>
      <c r="Y45" s="305" t="b">
        <f t="shared" si="22"/>
        <v>1</v>
      </c>
      <c r="Z45" s="306">
        <f t="shared" si="23"/>
        <v>0.6</v>
      </c>
      <c r="AA45" s="307" t="b">
        <f t="shared" si="24"/>
        <v>1</v>
      </c>
      <c r="AB45" s="307" t="b">
        <f t="shared" si="25"/>
        <v>1</v>
      </c>
    </row>
    <row r="46" spans="1:28" s="308" customFormat="1" ht="37.5" customHeight="1">
      <c r="A46" s="185">
        <v>44</v>
      </c>
      <c r="B46" s="185">
        <v>338</v>
      </c>
      <c r="C46" s="185" t="s">
        <v>73</v>
      </c>
      <c r="D46" s="185" t="s">
        <v>105</v>
      </c>
      <c r="E46" s="242">
        <v>2007043</v>
      </c>
      <c r="F46" s="233" t="s">
        <v>58</v>
      </c>
      <c r="G46" s="210" t="s">
        <v>545</v>
      </c>
      <c r="H46" s="182" t="s">
        <v>49</v>
      </c>
      <c r="I46" s="187">
        <v>0.15</v>
      </c>
      <c r="J46" s="211" t="s">
        <v>356</v>
      </c>
      <c r="K46" s="182">
        <v>930389.08</v>
      </c>
      <c r="L46" s="272">
        <f t="shared" si="26"/>
        <v>558233.43999999994</v>
      </c>
      <c r="M46" s="271">
        <f t="shared" si="27"/>
        <v>372155.64</v>
      </c>
      <c r="N46" s="257">
        <v>0.6</v>
      </c>
      <c r="O46" s="199">
        <v>0</v>
      </c>
      <c r="P46" s="199">
        <v>0</v>
      </c>
      <c r="Q46" s="208">
        <v>0</v>
      </c>
      <c r="R46" s="199">
        <v>0</v>
      </c>
      <c r="S46" s="199">
        <f t="shared" si="28"/>
        <v>558233.43999999994</v>
      </c>
      <c r="T46" s="199"/>
      <c r="U46" s="200"/>
      <c r="V46" s="207"/>
      <c r="W46" s="207"/>
      <c r="X46" s="207"/>
      <c r="Y46" s="305" t="b">
        <f t="shared" si="22"/>
        <v>1</v>
      </c>
      <c r="Z46" s="306">
        <f t="shared" si="23"/>
        <v>0.6</v>
      </c>
      <c r="AA46" s="307" t="b">
        <f t="shared" si="24"/>
        <v>1</v>
      </c>
      <c r="AB46" s="307" t="b">
        <f t="shared" si="25"/>
        <v>1</v>
      </c>
    </row>
    <row r="47" spans="1:28" s="308" customFormat="1" ht="37.5" customHeight="1">
      <c r="A47" s="185">
        <v>45</v>
      </c>
      <c r="B47" s="185">
        <v>237</v>
      </c>
      <c r="C47" s="185" t="s">
        <v>73</v>
      </c>
      <c r="D47" s="185" t="s">
        <v>64</v>
      </c>
      <c r="E47" s="242">
        <v>2002143</v>
      </c>
      <c r="F47" s="233" t="s">
        <v>50</v>
      </c>
      <c r="G47" s="210" t="s">
        <v>547</v>
      </c>
      <c r="H47" s="182" t="s">
        <v>49</v>
      </c>
      <c r="I47" s="187">
        <v>0.44500000000000001</v>
      </c>
      <c r="J47" s="211" t="s">
        <v>347</v>
      </c>
      <c r="K47" s="182">
        <v>1004000</v>
      </c>
      <c r="L47" s="272">
        <f t="shared" si="26"/>
        <v>602400</v>
      </c>
      <c r="M47" s="271">
        <f t="shared" si="27"/>
        <v>401600</v>
      </c>
      <c r="N47" s="257">
        <v>0.6</v>
      </c>
      <c r="O47" s="199">
        <v>0</v>
      </c>
      <c r="P47" s="199">
        <v>0</v>
      </c>
      <c r="Q47" s="208">
        <v>0</v>
      </c>
      <c r="R47" s="199">
        <v>0</v>
      </c>
      <c r="S47" s="199">
        <f t="shared" si="28"/>
        <v>602400</v>
      </c>
      <c r="T47" s="199"/>
      <c r="U47" s="200"/>
      <c r="V47" s="207"/>
      <c r="W47" s="207"/>
      <c r="X47" s="207"/>
      <c r="Y47" s="305" t="b">
        <f t="shared" si="22"/>
        <v>1</v>
      </c>
      <c r="Z47" s="306">
        <f t="shared" si="23"/>
        <v>0.6</v>
      </c>
      <c r="AA47" s="307" t="b">
        <f t="shared" si="24"/>
        <v>1</v>
      </c>
      <c r="AB47" s="307" t="b">
        <f t="shared" si="25"/>
        <v>1</v>
      </c>
    </row>
    <row r="48" spans="1:28" s="308" customFormat="1" ht="37.5" customHeight="1">
      <c r="A48" s="185">
        <v>46</v>
      </c>
      <c r="B48" s="185">
        <v>280</v>
      </c>
      <c r="C48" s="185" t="s">
        <v>73</v>
      </c>
      <c r="D48" s="185" t="s">
        <v>421</v>
      </c>
      <c r="E48" s="242">
        <v>2011013</v>
      </c>
      <c r="F48" s="233" t="s">
        <v>51</v>
      </c>
      <c r="G48" s="210" t="s">
        <v>548</v>
      </c>
      <c r="H48" s="182" t="s">
        <v>49</v>
      </c>
      <c r="I48" s="187">
        <v>1.337</v>
      </c>
      <c r="J48" s="211" t="s">
        <v>290</v>
      </c>
      <c r="K48" s="182">
        <v>1923000</v>
      </c>
      <c r="L48" s="272">
        <f t="shared" si="26"/>
        <v>1153800</v>
      </c>
      <c r="M48" s="271">
        <f t="shared" si="27"/>
        <v>769200</v>
      </c>
      <c r="N48" s="257">
        <v>0.6</v>
      </c>
      <c r="O48" s="199">
        <v>0</v>
      </c>
      <c r="P48" s="199">
        <v>0</v>
      </c>
      <c r="Q48" s="208">
        <v>0</v>
      </c>
      <c r="R48" s="199">
        <v>0</v>
      </c>
      <c r="S48" s="199">
        <f t="shared" si="28"/>
        <v>1153800</v>
      </c>
      <c r="T48" s="199"/>
      <c r="U48" s="200"/>
      <c r="V48" s="207"/>
      <c r="W48" s="207"/>
      <c r="X48" s="207"/>
      <c r="Y48" s="305" t="b">
        <f t="shared" si="22"/>
        <v>1</v>
      </c>
      <c r="Z48" s="306">
        <f t="shared" si="23"/>
        <v>0.6</v>
      </c>
      <c r="AA48" s="307" t="b">
        <f t="shared" si="24"/>
        <v>1</v>
      </c>
      <c r="AB48" s="307" t="b">
        <f t="shared" si="25"/>
        <v>1</v>
      </c>
    </row>
    <row r="49" spans="1:28" s="308" customFormat="1" ht="37.5" customHeight="1">
      <c r="A49" s="185">
        <v>47</v>
      </c>
      <c r="B49" s="185">
        <v>287</v>
      </c>
      <c r="C49" s="185" t="s">
        <v>73</v>
      </c>
      <c r="D49" s="185" t="s">
        <v>423</v>
      </c>
      <c r="E49" s="242">
        <v>2001072</v>
      </c>
      <c r="F49" s="233" t="s">
        <v>95</v>
      </c>
      <c r="G49" s="210" t="s">
        <v>549</v>
      </c>
      <c r="H49" s="182" t="s">
        <v>49</v>
      </c>
      <c r="I49" s="187">
        <v>0.7</v>
      </c>
      <c r="J49" s="211" t="s">
        <v>425</v>
      </c>
      <c r="K49" s="182">
        <v>811500</v>
      </c>
      <c r="L49" s="272">
        <f t="shared" si="26"/>
        <v>486900</v>
      </c>
      <c r="M49" s="271">
        <f t="shared" si="27"/>
        <v>324600</v>
      </c>
      <c r="N49" s="257">
        <v>0.6</v>
      </c>
      <c r="O49" s="199">
        <v>0</v>
      </c>
      <c r="P49" s="199">
        <v>0</v>
      </c>
      <c r="Q49" s="208">
        <v>0</v>
      </c>
      <c r="R49" s="199">
        <v>0</v>
      </c>
      <c r="S49" s="199">
        <f t="shared" si="28"/>
        <v>486900</v>
      </c>
      <c r="T49" s="199"/>
      <c r="U49" s="200"/>
      <c r="V49" s="207"/>
      <c r="W49" s="207"/>
      <c r="X49" s="207"/>
      <c r="Y49" s="305" t="b">
        <f t="shared" si="22"/>
        <v>1</v>
      </c>
      <c r="Z49" s="306">
        <f t="shared" si="23"/>
        <v>0.6</v>
      </c>
      <c r="AA49" s="307" t="b">
        <f t="shared" si="24"/>
        <v>1</v>
      </c>
      <c r="AB49" s="307" t="b">
        <f t="shared" si="25"/>
        <v>1</v>
      </c>
    </row>
    <row r="50" spans="1:28" s="308" customFormat="1" ht="52.15" customHeight="1">
      <c r="A50" s="185">
        <v>48</v>
      </c>
      <c r="B50" s="241">
        <v>335</v>
      </c>
      <c r="C50" s="185" t="s">
        <v>73</v>
      </c>
      <c r="D50" s="185" t="s">
        <v>431</v>
      </c>
      <c r="E50" s="240" t="s">
        <v>559</v>
      </c>
      <c r="F50" s="233" t="s">
        <v>51</v>
      </c>
      <c r="G50" s="210" t="s">
        <v>550</v>
      </c>
      <c r="H50" s="182" t="s">
        <v>49</v>
      </c>
      <c r="I50" s="187">
        <v>0.52100000000000002</v>
      </c>
      <c r="J50" s="211" t="s">
        <v>258</v>
      </c>
      <c r="K50" s="182">
        <v>2209000</v>
      </c>
      <c r="L50" s="272">
        <f t="shared" si="26"/>
        <v>1325400</v>
      </c>
      <c r="M50" s="271">
        <f t="shared" si="27"/>
        <v>883600</v>
      </c>
      <c r="N50" s="257">
        <v>0.6</v>
      </c>
      <c r="O50" s="199">
        <v>0</v>
      </c>
      <c r="P50" s="199">
        <v>0</v>
      </c>
      <c r="Q50" s="208">
        <v>0</v>
      </c>
      <c r="R50" s="199">
        <v>0</v>
      </c>
      <c r="S50" s="199">
        <f t="shared" si="28"/>
        <v>1325400</v>
      </c>
      <c r="T50" s="199"/>
      <c r="U50" s="200"/>
      <c r="V50" s="207"/>
      <c r="W50" s="207"/>
      <c r="X50" s="207"/>
      <c r="Y50" s="305" t="b">
        <f t="shared" si="22"/>
        <v>1</v>
      </c>
      <c r="Z50" s="306">
        <f t="shared" si="23"/>
        <v>0.6</v>
      </c>
      <c r="AA50" s="307" t="b">
        <f t="shared" si="24"/>
        <v>1</v>
      </c>
      <c r="AB50" s="307" t="b">
        <f t="shared" si="25"/>
        <v>1</v>
      </c>
    </row>
    <row r="51" spans="1:28" s="308" customFormat="1" ht="37.5" customHeight="1">
      <c r="A51" s="185">
        <v>49</v>
      </c>
      <c r="B51" s="185">
        <v>52</v>
      </c>
      <c r="C51" s="185" t="s">
        <v>73</v>
      </c>
      <c r="D51" s="185" t="s">
        <v>502</v>
      </c>
      <c r="E51" s="242">
        <v>2001011</v>
      </c>
      <c r="F51" s="233" t="s">
        <v>95</v>
      </c>
      <c r="G51" s="229" t="s">
        <v>551</v>
      </c>
      <c r="H51" s="230" t="s">
        <v>48</v>
      </c>
      <c r="I51" s="231">
        <v>1.4990000000000001</v>
      </c>
      <c r="J51" s="232" t="s">
        <v>458</v>
      </c>
      <c r="K51" s="230">
        <v>15206000</v>
      </c>
      <c r="L51" s="272">
        <f t="shared" si="26"/>
        <v>9123600</v>
      </c>
      <c r="M51" s="271">
        <f t="shared" si="27"/>
        <v>6082400</v>
      </c>
      <c r="N51" s="257">
        <v>0.6</v>
      </c>
      <c r="O51" s="199">
        <v>0</v>
      </c>
      <c r="P51" s="199">
        <v>0</v>
      </c>
      <c r="Q51" s="208">
        <v>0</v>
      </c>
      <c r="R51" s="199">
        <v>0</v>
      </c>
      <c r="S51" s="199">
        <f t="shared" si="28"/>
        <v>9123600</v>
      </c>
      <c r="T51" s="199"/>
      <c r="U51" s="200"/>
      <c r="V51" s="207"/>
      <c r="W51" s="207"/>
      <c r="X51" s="207"/>
      <c r="Y51" s="305" t="b">
        <f t="shared" si="22"/>
        <v>1</v>
      </c>
      <c r="Z51" s="306">
        <f t="shared" si="23"/>
        <v>0.6</v>
      </c>
      <c r="AA51" s="307" t="b">
        <f t="shared" si="24"/>
        <v>1</v>
      </c>
      <c r="AB51" s="307" t="b">
        <f t="shared" si="25"/>
        <v>1</v>
      </c>
    </row>
    <row r="52" spans="1:28" s="308" customFormat="1" ht="37.5" customHeight="1">
      <c r="A52" s="185">
        <v>50</v>
      </c>
      <c r="B52" s="185">
        <v>68</v>
      </c>
      <c r="C52" s="185" t="s">
        <v>73</v>
      </c>
      <c r="D52" s="185" t="s">
        <v>552</v>
      </c>
      <c r="E52" s="242">
        <v>2014052</v>
      </c>
      <c r="F52" s="233" t="s">
        <v>57</v>
      </c>
      <c r="G52" s="229" t="s">
        <v>553</v>
      </c>
      <c r="H52" s="182" t="s">
        <v>48</v>
      </c>
      <c r="I52" s="187">
        <v>2</v>
      </c>
      <c r="J52" s="232" t="s">
        <v>256</v>
      </c>
      <c r="K52" s="182">
        <v>5601400</v>
      </c>
      <c r="L52" s="272">
        <f>ROUNDDOWN(K52*N52,2)</f>
        <v>3360840</v>
      </c>
      <c r="M52" s="271">
        <f>K52-L52</f>
        <v>2240560</v>
      </c>
      <c r="N52" s="257">
        <v>0.6</v>
      </c>
      <c r="O52" s="199">
        <v>0</v>
      </c>
      <c r="P52" s="199">
        <v>0</v>
      </c>
      <c r="Q52" s="208">
        <v>0</v>
      </c>
      <c r="R52" s="199">
        <v>0</v>
      </c>
      <c r="S52" s="199">
        <f>L52</f>
        <v>3360840</v>
      </c>
      <c r="T52" s="199"/>
      <c r="U52" s="200"/>
      <c r="V52" s="207"/>
      <c r="W52" s="207"/>
      <c r="X52" s="207"/>
      <c r="Y52" s="305" t="b">
        <f t="shared" si="22"/>
        <v>1</v>
      </c>
      <c r="Z52" s="306">
        <f t="shared" si="23"/>
        <v>0.6</v>
      </c>
      <c r="AA52" s="307" t="b">
        <f t="shared" si="24"/>
        <v>1</v>
      </c>
      <c r="AB52" s="307" t="b">
        <f t="shared" si="25"/>
        <v>1</v>
      </c>
    </row>
    <row r="53" spans="1:28" s="308" customFormat="1" ht="37.5" customHeight="1">
      <c r="A53" s="185">
        <v>51</v>
      </c>
      <c r="B53" s="185">
        <v>116</v>
      </c>
      <c r="C53" s="185" t="s">
        <v>73</v>
      </c>
      <c r="D53" s="185" t="s">
        <v>379</v>
      </c>
      <c r="E53" s="242">
        <v>2002013</v>
      </c>
      <c r="F53" s="233" t="s">
        <v>50</v>
      </c>
      <c r="G53" s="210" t="s">
        <v>556</v>
      </c>
      <c r="H53" s="182" t="s">
        <v>48</v>
      </c>
      <c r="I53" s="309">
        <v>0.70799999999999996</v>
      </c>
      <c r="J53" s="211" t="s">
        <v>259</v>
      </c>
      <c r="K53" s="182">
        <v>4098943.86</v>
      </c>
      <c r="L53" s="272">
        <f>ROUNDDOWN(K53*N53,2)</f>
        <v>2459366.31</v>
      </c>
      <c r="M53" s="271">
        <f>K53-L53</f>
        <v>1639577.5499999998</v>
      </c>
      <c r="N53" s="257">
        <v>0.6</v>
      </c>
      <c r="O53" s="199">
        <v>0</v>
      </c>
      <c r="P53" s="199">
        <v>0</v>
      </c>
      <c r="Q53" s="208">
        <v>0</v>
      </c>
      <c r="R53" s="199">
        <v>0</v>
      </c>
      <c r="S53" s="199">
        <f>L53</f>
        <v>2459366.31</v>
      </c>
      <c r="T53" s="199"/>
      <c r="U53" s="200"/>
      <c r="V53" s="207"/>
      <c r="W53" s="207"/>
      <c r="X53" s="207"/>
      <c r="Y53" s="305" t="b">
        <f t="shared" si="22"/>
        <v>1</v>
      </c>
      <c r="Z53" s="306">
        <f t="shared" si="23"/>
        <v>0.6</v>
      </c>
      <c r="AA53" s="307" t="b">
        <f t="shared" si="24"/>
        <v>1</v>
      </c>
      <c r="AB53" s="307" t="b">
        <f t="shared" si="25"/>
        <v>1</v>
      </c>
    </row>
    <row r="54" spans="1:28" s="308" customFormat="1" ht="37.5" customHeight="1">
      <c r="A54" s="185" t="s">
        <v>569</v>
      </c>
      <c r="B54" s="185">
        <v>130</v>
      </c>
      <c r="C54" s="185" t="s">
        <v>73</v>
      </c>
      <c r="D54" s="185" t="s">
        <v>557</v>
      </c>
      <c r="E54" s="242">
        <v>2002093</v>
      </c>
      <c r="F54" s="233" t="s">
        <v>50</v>
      </c>
      <c r="G54" s="210" t="s">
        <v>558</v>
      </c>
      <c r="H54" s="309" t="s">
        <v>48</v>
      </c>
      <c r="I54" s="187">
        <v>1.77</v>
      </c>
      <c r="J54" s="211" t="s">
        <v>256</v>
      </c>
      <c r="K54" s="182">
        <v>4533690</v>
      </c>
      <c r="L54" s="272">
        <f>ROUNDDOWN(K54*N54,2)-138436.88</f>
        <v>2581777.12</v>
      </c>
      <c r="M54" s="271">
        <f>K54-L54</f>
        <v>1951912.88</v>
      </c>
      <c r="N54" s="257">
        <v>0.6</v>
      </c>
      <c r="O54" s="199">
        <v>0</v>
      </c>
      <c r="P54" s="199">
        <v>0</v>
      </c>
      <c r="Q54" s="208">
        <v>0</v>
      </c>
      <c r="R54" s="199">
        <v>0</v>
      </c>
      <c r="S54" s="199">
        <f>L54</f>
        <v>2581777.12</v>
      </c>
      <c r="T54" s="199"/>
      <c r="U54" s="200"/>
      <c r="V54" s="207"/>
      <c r="W54" s="207"/>
      <c r="X54" s="207"/>
      <c r="Y54" s="305" t="b">
        <f t="shared" si="22"/>
        <v>1</v>
      </c>
      <c r="Z54" s="306">
        <f t="shared" si="23"/>
        <v>0.56950000000000001</v>
      </c>
      <c r="AA54" s="307" t="b">
        <f t="shared" si="24"/>
        <v>0</v>
      </c>
      <c r="AB54" s="307" t="b">
        <f t="shared" si="25"/>
        <v>1</v>
      </c>
    </row>
    <row r="55" spans="1:28" s="20" customFormat="1" ht="19.5" customHeight="1">
      <c r="A55" s="359" t="s">
        <v>43</v>
      </c>
      <c r="B55" s="360"/>
      <c r="C55" s="360"/>
      <c r="D55" s="360"/>
      <c r="E55" s="360"/>
      <c r="F55" s="360"/>
      <c r="G55" s="360"/>
      <c r="H55" s="361"/>
      <c r="I55" s="132">
        <f>SUM(I3:I54)</f>
        <v>61.512000000000008</v>
      </c>
      <c r="J55" s="133" t="s">
        <v>14</v>
      </c>
      <c r="K55" s="33">
        <f>SUM(K3:K54)</f>
        <v>202954046.27000004</v>
      </c>
      <c r="L55" s="33">
        <f>SUM(L3:L54)</f>
        <v>122798130.81999998</v>
      </c>
      <c r="M55" s="33">
        <f>SUM(M3:M54)</f>
        <v>80155915.450000003</v>
      </c>
      <c r="N55" s="134" t="s">
        <v>14</v>
      </c>
      <c r="O55" s="138">
        <f t="shared" ref="O55:X55" si="29">SUM(O3:O54)</f>
        <v>0</v>
      </c>
      <c r="P55" s="138">
        <f t="shared" si="29"/>
        <v>0</v>
      </c>
      <c r="Q55" s="138">
        <f t="shared" si="29"/>
        <v>0</v>
      </c>
      <c r="R55" s="138">
        <f t="shared" si="29"/>
        <v>0</v>
      </c>
      <c r="S55" s="138">
        <f t="shared" si="29"/>
        <v>74275984.750000015</v>
      </c>
      <c r="T55" s="138">
        <f t="shared" si="29"/>
        <v>38433741.969999999</v>
      </c>
      <c r="U55" s="138">
        <f t="shared" si="29"/>
        <v>10088404.1</v>
      </c>
      <c r="V55" s="138">
        <f t="shared" si="29"/>
        <v>0</v>
      </c>
      <c r="W55" s="138">
        <f t="shared" si="29"/>
        <v>0</v>
      </c>
      <c r="X55" s="138">
        <f t="shared" si="29"/>
        <v>0</v>
      </c>
      <c r="Y55" s="28" t="b">
        <f>L55=SUM(O55:X55)</f>
        <v>1</v>
      </c>
      <c r="Z55" s="139">
        <f t="shared" si="16"/>
        <v>0.60509999999999997</v>
      </c>
      <c r="AA55" s="140" t="s">
        <v>14</v>
      </c>
      <c r="AB55" s="140" t="b">
        <f t="shared" si="18"/>
        <v>1</v>
      </c>
    </row>
    <row r="56" spans="1:28" s="20" customFormat="1" ht="19.5" customHeight="1">
      <c r="A56" s="359" t="s">
        <v>38</v>
      </c>
      <c r="B56" s="360"/>
      <c r="C56" s="360"/>
      <c r="D56" s="360"/>
      <c r="E56" s="360"/>
      <c r="F56" s="360"/>
      <c r="G56" s="360"/>
      <c r="H56" s="361"/>
      <c r="I56" s="132">
        <f>SUMIF($C$3:$C$54,"N",I3:I54)</f>
        <v>36.870999999999995</v>
      </c>
      <c r="J56" s="133" t="s">
        <v>14</v>
      </c>
      <c r="K56" s="33">
        <f>SUMIF($C$3:$C$54,"N",K3:K54)</f>
        <v>97513777.200000003</v>
      </c>
      <c r="L56" s="33">
        <f>SUMIF($C$3:$C$54,"N",L3:L54)</f>
        <v>59533969.399999999</v>
      </c>
      <c r="M56" s="33">
        <f>SUMIF($C$3:$C$54,"N",M3:M54)</f>
        <v>37979807.800000004</v>
      </c>
      <c r="N56" s="134" t="s">
        <v>14</v>
      </c>
      <c r="O56" s="138">
        <f t="shared" ref="O56:X56" si="30">SUMIF($C$3:$C$54,"N",O3:O54)</f>
        <v>0</v>
      </c>
      <c r="P56" s="138">
        <f t="shared" si="30"/>
        <v>0</v>
      </c>
      <c r="Q56" s="138">
        <f t="shared" si="30"/>
        <v>0</v>
      </c>
      <c r="R56" s="138">
        <f t="shared" si="30"/>
        <v>0</v>
      </c>
      <c r="S56" s="138">
        <f t="shared" si="30"/>
        <v>59533969.399999999</v>
      </c>
      <c r="T56" s="138">
        <f t="shared" si="30"/>
        <v>0</v>
      </c>
      <c r="U56" s="138">
        <f t="shared" si="30"/>
        <v>0</v>
      </c>
      <c r="V56" s="138">
        <f t="shared" si="30"/>
        <v>0</v>
      </c>
      <c r="W56" s="138">
        <f t="shared" si="30"/>
        <v>0</v>
      </c>
      <c r="X56" s="138">
        <f t="shared" si="30"/>
        <v>0</v>
      </c>
      <c r="Y56" s="28" t="b">
        <f>L56=SUM(O56:X56)</f>
        <v>1</v>
      </c>
      <c r="Z56" s="139">
        <f t="shared" si="16"/>
        <v>0.61050000000000004</v>
      </c>
      <c r="AA56" s="140" t="s">
        <v>14</v>
      </c>
      <c r="AB56" s="140" t="b">
        <f t="shared" si="18"/>
        <v>1</v>
      </c>
    </row>
    <row r="57" spans="1:28" s="20" customFormat="1" ht="19.5" customHeight="1">
      <c r="A57" s="356" t="s">
        <v>39</v>
      </c>
      <c r="B57" s="357"/>
      <c r="C57" s="357"/>
      <c r="D57" s="357"/>
      <c r="E57" s="357"/>
      <c r="F57" s="357"/>
      <c r="G57" s="357"/>
      <c r="H57" s="358"/>
      <c r="I57" s="135">
        <f>SUMIF($C$3:$C$54,"W",I3:I54)</f>
        <v>24.641000000000005</v>
      </c>
      <c r="J57" s="321" t="s">
        <v>14</v>
      </c>
      <c r="K57" s="252">
        <f>SUMIF($C$3:$C$54,"W",K3:K54)</f>
        <v>105440269.07000001</v>
      </c>
      <c r="L57" s="252">
        <f>SUMIF($C$3:$C$54,"W",L3:L54)</f>
        <v>63264161.420000002</v>
      </c>
      <c r="M57" s="252">
        <f>SUMIF($C$3:$C$54,"W",M3:M54)</f>
        <v>42176107.649999999</v>
      </c>
      <c r="N57" s="136" t="s">
        <v>14</v>
      </c>
      <c r="O57" s="269">
        <f t="shared" ref="O57:X57" si="31">SUMIF($C$3:$C$54,"W",O3:O54)</f>
        <v>0</v>
      </c>
      <c r="P57" s="269">
        <f t="shared" si="31"/>
        <v>0</v>
      </c>
      <c r="Q57" s="269">
        <f t="shared" si="31"/>
        <v>0</v>
      </c>
      <c r="R57" s="269">
        <f t="shared" si="31"/>
        <v>0</v>
      </c>
      <c r="S57" s="269">
        <f t="shared" si="31"/>
        <v>14742015.349999998</v>
      </c>
      <c r="T57" s="269">
        <f t="shared" si="31"/>
        <v>38433741.969999999</v>
      </c>
      <c r="U57" s="269">
        <f t="shared" si="31"/>
        <v>10088404.1</v>
      </c>
      <c r="V57" s="269">
        <f t="shared" si="31"/>
        <v>0</v>
      </c>
      <c r="W57" s="269">
        <f t="shared" si="31"/>
        <v>0</v>
      </c>
      <c r="X57" s="269">
        <f t="shared" si="31"/>
        <v>0</v>
      </c>
      <c r="Y57" s="28" t="b">
        <f>L57=SUM(O57:X57)</f>
        <v>1</v>
      </c>
      <c r="Z57" s="139">
        <f t="shared" si="16"/>
        <v>0.6</v>
      </c>
      <c r="AA57" s="140" t="s">
        <v>14</v>
      </c>
      <c r="AB57" s="140" t="b">
        <f t="shared" si="18"/>
        <v>1</v>
      </c>
    </row>
    <row r="58" spans="1:28" s="20" customFormat="1" ht="34.5" customHeight="1">
      <c r="A58" s="25"/>
      <c r="B58" s="24"/>
      <c r="C58" s="24"/>
      <c r="D58" s="24"/>
      <c r="E58" s="24"/>
      <c r="F58" s="24"/>
      <c r="G58" s="24"/>
      <c r="H58" s="24"/>
      <c r="I58" s="24"/>
      <c r="J58" s="137"/>
      <c r="K58" s="24"/>
      <c r="L58" s="24"/>
      <c r="M58" s="24"/>
      <c r="N58" s="137"/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8"/>
      <c r="Z58" s="139"/>
      <c r="AA58" s="140"/>
      <c r="AB58" s="140"/>
    </row>
    <row r="59" spans="1:28" s="20" customFormat="1" ht="16.5" customHeight="1">
      <c r="A59" s="349" t="s">
        <v>25</v>
      </c>
      <c r="B59" s="349"/>
      <c r="C59" s="349"/>
      <c r="D59" s="349"/>
      <c r="E59" s="349"/>
      <c r="F59" s="349"/>
      <c r="G59" s="22"/>
      <c r="H59" s="24"/>
      <c r="I59" s="289"/>
      <c r="J59" s="193"/>
      <c r="K59" s="290"/>
      <c r="L59" s="290"/>
      <c r="M59" s="137"/>
      <c r="N59" s="290"/>
      <c r="O59" s="290"/>
      <c r="P59" s="290"/>
      <c r="Q59" s="290"/>
      <c r="R59" s="290"/>
      <c r="S59" s="24"/>
      <c r="T59" s="24"/>
      <c r="U59" s="24"/>
      <c r="V59" s="24"/>
      <c r="W59" s="24"/>
      <c r="X59" s="24"/>
      <c r="Y59" s="28"/>
      <c r="Z59" s="139"/>
      <c r="AA59" s="140"/>
      <c r="AB59" s="140"/>
    </row>
    <row r="60" spans="1:28" s="20" customFormat="1" ht="16.5" customHeight="1">
      <c r="A60" s="350" t="s">
        <v>26</v>
      </c>
      <c r="B60" s="350"/>
      <c r="C60" s="350"/>
      <c r="D60" s="350"/>
      <c r="E60" s="350"/>
      <c r="F60" s="350"/>
      <c r="G60" s="350"/>
      <c r="H60" s="24"/>
      <c r="I60" s="289"/>
      <c r="J60" s="194"/>
      <c r="K60" s="290"/>
      <c r="L60" s="290"/>
      <c r="M60" s="137"/>
      <c r="N60" s="290"/>
      <c r="O60" s="290"/>
      <c r="P60" s="290"/>
      <c r="Q60" s="290"/>
      <c r="R60" s="290"/>
      <c r="S60" s="24"/>
      <c r="T60" s="24"/>
      <c r="U60" s="24"/>
      <c r="V60" s="24"/>
      <c r="W60" s="24"/>
      <c r="X60" s="24"/>
      <c r="Y60" s="28"/>
      <c r="Z60" s="139"/>
      <c r="AA60" s="140"/>
      <c r="AB60" s="140"/>
    </row>
    <row r="61" spans="1:28" s="20" customFormat="1" ht="16.5" customHeight="1">
      <c r="A61" s="349" t="s">
        <v>42</v>
      </c>
      <c r="B61" s="349"/>
      <c r="C61" s="349"/>
      <c r="D61" s="349"/>
      <c r="E61" s="349"/>
      <c r="F61" s="349"/>
      <c r="G61" s="349"/>
      <c r="H61" s="4"/>
      <c r="I61" s="291"/>
      <c r="J61" s="195"/>
      <c r="K61" s="191"/>
      <c r="L61" s="191"/>
      <c r="M61" s="137"/>
      <c r="N61" s="191"/>
      <c r="O61" s="191"/>
      <c r="P61" s="191"/>
      <c r="Q61" s="191"/>
      <c r="R61" s="191"/>
      <c r="S61" s="24"/>
      <c r="T61" s="24"/>
      <c r="U61" s="24"/>
      <c r="V61" s="24"/>
      <c r="W61" s="24"/>
      <c r="X61" s="24"/>
      <c r="Y61" s="28"/>
      <c r="Z61" s="139"/>
      <c r="AA61" s="140"/>
      <c r="AB61" s="140"/>
    </row>
    <row r="62" spans="1:28" s="20" customFormat="1" ht="18.75" customHeight="1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24"/>
      <c r="T62" s="24"/>
      <c r="U62" s="24"/>
      <c r="V62" s="24"/>
      <c r="W62" s="24"/>
      <c r="X62" s="24"/>
      <c r="Y62" s="28"/>
      <c r="Z62" s="139"/>
      <c r="AA62" s="140"/>
      <c r="AB62" s="140"/>
    </row>
    <row r="63" spans="1:28" s="20" customFormat="1" ht="13.5" customHeight="1">
      <c r="A63" s="352" t="s">
        <v>509</v>
      </c>
      <c r="B63" s="352"/>
      <c r="C63" s="352"/>
      <c r="D63" s="352"/>
      <c r="E63" s="352"/>
      <c r="F63" s="352"/>
      <c r="G63" s="352"/>
      <c r="H63" s="352"/>
      <c r="I63" s="352"/>
      <c r="J63" s="352"/>
      <c r="K63" s="352"/>
      <c r="L63" s="352"/>
      <c r="M63" s="352"/>
      <c r="N63" s="352"/>
      <c r="O63" s="352"/>
      <c r="P63" s="352"/>
      <c r="Q63" s="352"/>
      <c r="R63" s="352"/>
      <c r="S63" s="24"/>
      <c r="T63" s="24"/>
      <c r="U63" s="24"/>
      <c r="V63" s="24"/>
      <c r="W63" s="24"/>
      <c r="X63" s="24"/>
      <c r="Y63" s="28"/>
      <c r="Z63" s="139"/>
      <c r="AA63" s="140"/>
      <c r="AB63" s="140"/>
    </row>
    <row r="64" spans="1:28" s="20" customFormat="1" ht="13.5" customHeight="1">
      <c r="A64" s="292" t="s">
        <v>510</v>
      </c>
      <c r="B64" s="292"/>
      <c r="C64" s="292"/>
      <c r="D64" s="292"/>
      <c r="E64" s="292"/>
      <c r="F64" s="292"/>
      <c r="G64" s="292"/>
      <c r="H64" s="292"/>
      <c r="I64" s="292"/>
      <c r="J64" s="292"/>
      <c r="K64" s="292"/>
      <c r="L64" s="292"/>
      <c r="M64" s="292"/>
      <c r="N64" s="292"/>
      <c r="O64" s="292"/>
      <c r="P64" s="292"/>
      <c r="Q64" s="292"/>
      <c r="R64" s="292"/>
      <c r="S64" s="24"/>
      <c r="T64" s="24"/>
      <c r="U64" s="24"/>
      <c r="V64" s="24"/>
      <c r="W64" s="24"/>
      <c r="X64" s="24"/>
      <c r="Y64" s="28"/>
      <c r="Z64" s="139"/>
      <c r="AA64" s="140"/>
      <c r="AB64" s="140"/>
    </row>
    <row r="65" spans="1:28" s="20" customFormat="1" ht="13.5" customHeight="1">
      <c r="A65" s="293"/>
      <c r="B65" s="4"/>
      <c r="C65" s="4"/>
      <c r="D65" s="4"/>
      <c r="E65" s="4"/>
      <c r="F65" s="4"/>
      <c r="G65" s="4"/>
      <c r="H65" s="4"/>
      <c r="I65" s="291"/>
      <c r="J65" s="191"/>
      <c r="K65" s="191"/>
      <c r="L65" s="191"/>
      <c r="M65" s="137"/>
      <c r="N65" s="191"/>
      <c r="O65" s="191"/>
      <c r="P65" s="191"/>
      <c r="Q65" s="191"/>
      <c r="R65" s="191"/>
      <c r="S65" s="24"/>
      <c r="T65" s="24"/>
      <c r="U65" s="24"/>
      <c r="V65" s="24"/>
      <c r="W65" s="24"/>
      <c r="X65" s="24"/>
      <c r="Y65" s="28"/>
      <c r="Z65" s="139"/>
      <c r="AA65" s="140"/>
      <c r="AB65" s="140"/>
    </row>
    <row r="66" spans="1:28" s="20" customFormat="1" ht="13.5" customHeight="1">
      <c r="A66" s="351" t="s">
        <v>109</v>
      </c>
      <c r="B66" s="351"/>
      <c r="C66" s="351"/>
      <c r="D66" s="351"/>
      <c r="E66" s="351"/>
      <c r="F66" s="351"/>
      <c r="G66" s="351"/>
      <c r="H66" s="351"/>
      <c r="I66" s="351"/>
      <c r="J66" s="351"/>
      <c r="K66" s="191"/>
      <c r="L66" s="191"/>
      <c r="M66" s="137"/>
      <c r="N66" s="191"/>
      <c r="O66" s="191"/>
      <c r="P66" s="191"/>
      <c r="Q66" s="191"/>
      <c r="R66" s="191"/>
      <c r="S66" s="24"/>
      <c r="T66" s="24"/>
      <c r="U66" s="24"/>
      <c r="V66" s="24"/>
      <c r="W66" s="24"/>
      <c r="X66" s="24"/>
      <c r="Y66" s="28"/>
      <c r="Z66" s="139"/>
      <c r="AA66" s="140"/>
      <c r="AB66" s="140"/>
    </row>
    <row r="67" spans="1:28" s="20" customFormat="1" ht="13.5" customHeight="1">
      <c r="A67" s="351" t="s">
        <v>110</v>
      </c>
      <c r="B67" s="351"/>
      <c r="C67" s="351"/>
      <c r="D67" s="351"/>
      <c r="E67" s="351"/>
      <c r="F67" s="351"/>
      <c r="G67" s="351"/>
      <c r="H67" s="351"/>
      <c r="I67" s="351"/>
      <c r="J67" s="191"/>
      <c r="K67" s="191"/>
      <c r="L67" s="191"/>
      <c r="M67" s="137"/>
      <c r="N67" s="191"/>
      <c r="O67" s="191"/>
      <c r="P67" s="191"/>
      <c r="Q67" s="191"/>
      <c r="R67" s="191"/>
      <c r="S67" s="24"/>
      <c r="T67" s="24"/>
      <c r="U67" s="24"/>
      <c r="V67" s="24"/>
      <c r="W67" s="24"/>
      <c r="X67" s="24"/>
      <c r="Y67" s="28"/>
      <c r="Z67" s="139"/>
      <c r="AA67" s="140"/>
      <c r="AB67" s="140"/>
    </row>
    <row r="68" spans="1:28" s="20" customFormat="1" ht="13.5" customHeight="1">
      <c r="A68" s="4"/>
      <c r="B68" s="4"/>
      <c r="C68" s="4"/>
      <c r="D68" s="4"/>
      <c r="E68" s="4"/>
      <c r="F68" s="4"/>
      <c r="G68" s="24"/>
      <c r="H68" s="24"/>
      <c r="I68" s="24"/>
      <c r="J68" s="137"/>
      <c r="K68" s="24"/>
      <c r="L68" s="24"/>
      <c r="M68" s="24"/>
      <c r="N68" s="137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8"/>
      <c r="Z68" s="139"/>
      <c r="AA68" s="140"/>
      <c r="AB68" s="140"/>
    </row>
    <row r="69" spans="1:28" s="20" customFormat="1" ht="23.25" customHeight="1">
      <c r="A69" s="24"/>
      <c r="B69" s="24"/>
      <c r="C69" s="24"/>
      <c r="D69" s="24"/>
      <c r="E69" s="24"/>
      <c r="F69" s="24"/>
      <c r="G69" s="24"/>
      <c r="H69" s="24"/>
      <c r="I69" s="24"/>
      <c r="J69" s="137"/>
      <c r="K69" s="24"/>
      <c r="L69" s="24"/>
      <c r="M69" s="24"/>
      <c r="N69" s="137"/>
      <c r="O69" s="24"/>
      <c r="P69" s="24"/>
      <c r="Q69" s="24"/>
      <c r="R69" s="24"/>
      <c r="S69" s="24"/>
      <c r="T69" s="24"/>
      <c r="U69" s="24"/>
      <c r="V69" s="24"/>
      <c r="W69" s="24"/>
      <c r="X69" s="24"/>
      <c r="Y69" s="28"/>
      <c r="Z69" s="139"/>
      <c r="AA69" s="140"/>
      <c r="AB69" s="140"/>
    </row>
    <row r="70" spans="1:28" s="21" customFormat="1" ht="42" customHeight="1">
      <c r="A70" s="24"/>
      <c r="B70" s="24"/>
      <c r="C70" s="24"/>
      <c r="D70" s="24"/>
      <c r="E70" s="24"/>
      <c r="F70" s="24"/>
      <c r="G70" s="24"/>
      <c r="H70" s="24"/>
      <c r="I70" s="24"/>
      <c r="J70" s="137"/>
      <c r="K70" s="24"/>
      <c r="L70" s="24"/>
      <c r="M70" s="24"/>
      <c r="N70" s="137"/>
      <c r="O70" s="24"/>
      <c r="P70" s="24"/>
      <c r="Q70" s="24"/>
      <c r="R70" s="24"/>
      <c r="S70" s="24"/>
      <c r="T70" s="24"/>
      <c r="U70" s="24"/>
      <c r="V70" s="24"/>
      <c r="W70" s="24"/>
      <c r="X70" s="24"/>
      <c r="Y70" s="54"/>
      <c r="Z70" s="55"/>
      <c r="AA70" s="56"/>
      <c r="AB70" s="56"/>
    </row>
    <row r="71" spans="1:28" s="21" customFormat="1" ht="44.25" customHeight="1">
      <c r="A71" s="24"/>
      <c r="B71" s="24"/>
      <c r="C71" s="24"/>
      <c r="D71" s="24"/>
      <c r="E71" s="24"/>
      <c r="F71" s="24"/>
      <c r="G71" s="24"/>
      <c r="H71" s="24"/>
      <c r="I71" s="24"/>
      <c r="J71" s="137"/>
      <c r="K71" s="24"/>
      <c r="L71" s="24"/>
      <c r="M71" s="24"/>
      <c r="N71" s="137"/>
      <c r="O71" s="24"/>
      <c r="P71" s="24"/>
      <c r="Q71" s="24"/>
      <c r="R71" s="24"/>
      <c r="S71" s="24"/>
      <c r="T71" s="24"/>
      <c r="U71" s="24"/>
      <c r="V71" s="24"/>
      <c r="W71" s="24"/>
      <c r="X71" s="24"/>
      <c r="Y71" s="54"/>
      <c r="Z71" s="55"/>
      <c r="AA71" s="56"/>
      <c r="AB71" s="56"/>
    </row>
    <row r="72" spans="1:28" s="21" customFormat="1" ht="41.25" customHeight="1">
      <c r="A72" s="24"/>
      <c r="B72" s="24"/>
      <c r="C72" s="24"/>
      <c r="D72" s="24"/>
      <c r="E72" s="24"/>
      <c r="F72" s="24"/>
      <c r="G72" s="24"/>
      <c r="H72" s="24"/>
      <c r="I72" s="24"/>
      <c r="J72" s="137"/>
      <c r="K72" s="24"/>
      <c r="L72" s="24"/>
      <c r="M72" s="24"/>
      <c r="N72" s="137"/>
      <c r="O72" s="24"/>
      <c r="P72" s="24"/>
      <c r="Q72" s="24"/>
      <c r="R72" s="24"/>
      <c r="S72" s="24"/>
      <c r="T72" s="24"/>
      <c r="U72" s="24"/>
      <c r="V72" s="24"/>
      <c r="W72" s="24"/>
      <c r="X72" s="24"/>
      <c r="Y72" s="54"/>
      <c r="Z72" s="55"/>
      <c r="AA72" s="56"/>
      <c r="AB72" s="56"/>
    </row>
    <row r="73" spans="1:28" s="21" customFormat="1" ht="34.5" customHeight="1">
      <c r="A73" s="24"/>
      <c r="B73" s="24"/>
      <c r="C73" s="24"/>
      <c r="D73" s="24"/>
      <c r="E73" s="24"/>
      <c r="F73" s="24"/>
      <c r="G73" s="24"/>
      <c r="H73" s="24"/>
      <c r="I73" s="24"/>
      <c r="J73" s="137"/>
      <c r="K73" s="24"/>
      <c r="L73" s="24"/>
      <c r="M73" s="24"/>
      <c r="N73" s="137"/>
      <c r="O73" s="24"/>
      <c r="P73" s="24"/>
      <c r="Q73" s="24"/>
      <c r="R73" s="24"/>
      <c r="S73" s="24"/>
      <c r="T73" s="24"/>
      <c r="U73" s="24"/>
      <c r="V73" s="24"/>
      <c r="W73" s="24"/>
      <c r="X73" s="24"/>
      <c r="Y73" s="54"/>
      <c r="Z73" s="55"/>
      <c r="AA73" s="56"/>
      <c r="AB73" s="56"/>
    </row>
    <row r="74" spans="1:28" s="21" customFormat="1" ht="34.5" customHeight="1">
      <c r="A74" s="24"/>
      <c r="B74" s="24"/>
      <c r="C74" s="24"/>
      <c r="D74" s="24"/>
      <c r="E74" s="24"/>
      <c r="F74" s="24"/>
      <c r="G74" s="24"/>
      <c r="H74" s="24"/>
      <c r="I74" s="24"/>
      <c r="J74" s="137"/>
      <c r="K74" s="24"/>
      <c r="L74" s="24"/>
      <c r="M74" s="24"/>
      <c r="N74" s="137"/>
      <c r="O74" s="24"/>
      <c r="P74" s="24"/>
      <c r="Q74" s="24"/>
      <c r="R74" s="24"/>
      <c r="S74" s="24"/>
      <c r="T74" s="24"/>
      <c r="U74" s="24"/>
      <c r="V74" s="24"/>
      <c r="W74" s="24"/>
      <c r="X74" s="24"/>
      <c r="Y74" s="54"/>
      <c r="Z74" s="55"/>
      <c r="AA74" s="56"/>
      <c r="AB74" s="56"/>
    </row>
    <row r="75" spans="1:28" s="21" customFormat="1" ht="34.5" customHeight="1">
      <c r="A75" s="24"/>
      <c r="B75" s="24"/>
      <c r="C75" s="24"/>
      <c r="D75" s="24"/>
      <c r="E75" s="24"/>
      <c r="F75" s="24"/>
      <c r="G75" s="24"/>
      <c r="H75" s="24"/>
      <c r="I75" s="24"/>
      <c r="J75" s="137"/>
      <c r="K75" s="24"/>
      <c r="L75" s="24"/>
      <c r="M75" s="24"/>
      <c r="N75" s="137"/>
      <c r="O75" s="24"/>
      <c r="P75" s="24"/>
      <c r="Q75" s="24"/>
      <c r="R75" s="24"/>
      <c r="S75" s="24"/>
      <c r="T75" s="24"/>
      <c r="U75" s="24"/>
      <c r="V75" s="24"/>
      <c r="W75" s="24"/>
      <c r="X75" s="24"/>
      <c r="Y75" s="54"/>
      <c r="Z75" s="55"/>
      <c r="AA75" s="56"/>
      <c r="AB75" s="56"/>
    </row>
    <row r="76" spans="1:28" s="21" customFormat="1" ht="34.5" customHeight="1">
      <c r="A76" s="24"/>
      <c r="B76" s="24"/>
      <c r="C76" s="24"/>
      <c r="D76" s="24"/>
      <c r="E76" s="24"/>
      <c r="F76" s="24"/>
      <c r="G76" s="24"/>
      <c r="H76" s="24"/>
      <c r="I76" s="24"/>
      <c r="J76" s="137"/>
      <c r="K76" s="24"/>
      <c r="L76" s="24"/>
      <c r="M76" s="24"/>
      <c r="N76" s="137"/>
      <c r="O76" s="24"/>
      <c r="P76" s="24"/>
      <c r="Q76" s="24"/>
      <c r="R76" s="24"/>
      <c r="S76" s="24"/>
      <c r="T76" s="24"/>
      <c r="U76" s="24"/>
      <c r="V76" s="24"/>
      <c r="W76" s="24"/>
      <c r="X76" s="24"/>
      <c r="Y76" s="54"/>
      <c r="Z76" s="55"/>
      <c r="AA76" s="56"/>
      <c r="AB76" s="56"/>
    </row>
    <row r="77" spans="1:28" s="21" customFormat="1" ht="34.5" customHeight="1">
      <c r="A77" s="24"/>
      <c r="B77" s="24"/>
      <c r="C77" s="24"/>
      <c r="D77" s="24"/>
      <c r="E77" s="24"/>
      <c r="F77" s="24"/>
      <c r="G77" s="24"/>
      <c r="H77" s="24"/>
      <c r="I77" s="24"/>
      <c r="J77" s="137"/>
      <c r="K77" s="24"/>
      <c r="L77" s="24"/>
      <c r="M77" s="24"/>
      <c r="N77" s="137"/>
      <c r="O77" s="24"/>
      <c r="P77" s="24"/>
      <c r="Q77" s="24"/>
      <c r="R77" s="24"/>
      <c r="S77" s="24"/>
      <c r="T77" s="24"/>
      <c r="U77" s="24"/>
      <c r="V77" s="24"/>
      <c r="W77" s="24"/>
      <c r="X77" s="24"/>
      <c r="Y77" s="54"/>
      <c r="Z77" s="55"/>
      <c r="AA77" s="56"/>
      <c r="AB77" s="56"/>
    </row>
    <row r="78" spans="1:28" s="21" customFormat="1" ht="34.5" customHeight="1">
      <c r="A78" s="24"/>
      <c r="B78" s="24"/>
      <c r="C78" s="24"/>
      <c r="D78" s="24"/>
      <c r="E78" s="24"/>
      <c r="F78" s="24"/>
      <c r="G78" s="24"/>
      <c r="H78" s="24"/>
      <c r="I78" s="24"/>
      <c r="J78" s="137"/>
      <c r="K78" s="24"/>
      <c r="L78" s="24"/>
      <c r="M78" s="24"/>
      <c r="N78" s="137"/>
      <c r="O78" s="24"/>
      <c r="P78" s="24"/>
      <c r="Q78" s="24"/>
      <c r="R78" s="24"/>
      <c r="S78" s="24"/>
      <c r="T78" s="24"/>
      <c r="U78" s="24"/>
      <c r="V78" s="24"/>
      <c r="W78" s="24"/>
      <c r="X78" s="24"/>
      <c r="Y78" s="54"/>
      <c r="Z78" s="55"/>
      <c r="AA78" s="56"/>
      <c r="AB78" s="56"/>
    </row>
    <row r="79" spans="1:28" s="21" customFormat="1" ht="34.5" customHeight="1">
      <c r="A79" s="24"/>
      <c r="B79" s="24"/>
      <c r="C79" s="24"/>
      <c r="D79" s="24"/>
      <c r="E79" s="24"/>
      <c r="F79" s="24"/>
      <c r="G79" s="24"/>
      <c r="H79" s="24"/>
      <c r="I79" s="24"/>
      <c r="J79" s="137"/>
      <c r="K79" s="24"/>
      <c r="L79" s="24"/>
      <c r="M79" s="24"/>
      <c r="N79" s="137"/>
      <c r="O79" s="24"/>
      <c r="P79" s="24"/>
      <c r="Q79" s="24"/>
      <c r="R79" s="24"/>
      <c r="S79" s="24"/>
      <c r="T79" s="24"/>
      <c r="U79" s="24"/>
      <c r="V79" s="24"/>
      <c r="W79" s="24"/>
      <c r="X79" s="24"/>
      <c r="Y79" s="54"/>
      <c r="Z79" s="55"/>
      <c r="AA79" s="56"/>
      <c r="AB79" s="56"/>
    </row>
    <row r="80" spans="1:28" s="21" customFormat="1" ht="34.5" customHeight="1">
      <c r="A80" s="24"/>
      <c r="B80" s="24"/>
      <c r="C80" s="24"/>
      <c r="D80" s="24"/>
      <c r="E80" s="24"/>
      <c r="F80" s="24"/>
      <c r="G80" s="24"/>
      <c r="H80" s="24"/>
      <c r="I80" s="24"/>
      <c r="J80" s="137"/>
      <c r="K80" s="24"/>
      <c r="L80" s="24"/>
      <c r="M80" s="24"/>
      <c r="N80" s="137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54"/>
      <c r="Z80" s="55"/>
      <c r="AA80" s="56"/>
      <c r="AB80" s="56"/>
    </row>
    <row r="81" spans="1:28" s="21" customFormat="1" ht="34.5" customHeight="1">
      <c r="A81" s="24"/>
      <c r="B81" s="24"/>
      <c r="C81" s="24"/>
      <c r="D81" s="24"/>
      <c r="E81" s="24"/>
      <c r="F81" s="24"/>
      <c r="G81" s="24"/>
      <c r="H81" s="24"/>
      <c r="I81" s="24"/>
      <c r="J81" s="137"/>
      <c r="K81" s="24"/>
      <c r="L81" s="24"/>
      <c r="M81" s="24"/>
      <c r="N81" s="137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54"/>
      <c r="Z81" s="55"/>
      <c r="AA81" s="56"/>
      <c r="AB81" s="56"/>
    </row>
    <row r="82" spans="1:28" s="21" customFormat="1" ht="34.5" customHeight="1">
      <c r="A82" s="24"/>
      <c r="B82" s="24"/>
      <c r="C82" s="24"/>
      <c r="D82" s="24"/>
      <c r="E82" s="24"/>
      <c r="F82" s="24"/>
      <c r="G82" s="24"/>
      <c r="H82" s="24"/>
      <c r="I82" s="24"/>
      <c r="J82" s="137"/>
      <c r="K82" s="24"/>
      <c r="L82" s="24"/>
      <c r="M82" s="24"/>
      <c r="N82" s="137"/>
      <c r="O82" s="24"/>
      <c r="P82" s="24"/>
      <c r="Q82" s="24"/>
      <c r="R82" s="24"/>
      <c r="S82" s="24"/>
      <c r="T82" s="24"/>
      <c r="U82" s="24"/>
      <c r="V82" s="24"/>
      <c r="W82" s="24"/>
      <c r="X82" s="24"/>
      <c r="Y82" s="54"/>
      <c r="Z82" s="55"/>
      <c r="AA82" s="56"/>
      <c r="AB82" s="56"/>
    </row>
    <row r="83" spans="1:28" s="21" customFormat="1" ht="34.5" customHeight="1">
      <c r="A83" s="24"/>
      <c r="B83" s="24"/>
      <c r="C83" s="24"/>
      <c r="D83" s="24"/>
      <c r="E83" s="24"/>
      <c r="F83" s="24"/>
      <c r="G83" s="24"/>
      <c r="H83" s="24"/>
      <c r="I83" s="24"/>
      <c r="J83" s="137"/>
      <c r="K83" s="24"/>
      <c r="L83" s="24"/>
      <c r="M83" s="24"/>
      <c r="N83" s="137"/>
      <c r="O83" s="24"/>
      <c r="P83" s="24"/>
      <c r="Q83" s="24"/>
      <c r="R83" s="24"/>
      <c r="S83" s="24"/>
      <c r="T83" s="24"/>
      <c r="U83" s="24"/>
      <c r="V83" s="24"/>
      <c r="W83" s="24"/>
      <c r="X83" s="24"/>
      <c r="Y83" s="54"/>
      <c r="Z83" s="55"/>
      <c r="AA83" s="56"/>
      <c r="AB83" s="56"/>
    </row>
    <row r="84" spans="1:28" s="21" customFormat="1" ht="41.25" customHeight="1">
      <c r="A84" s="24"/>
      <c r="B84" s="24"/>
      <c r="C84" s="24"/>
      <c r="D84" s="24"/>
      <c r="E84" s="24"/>
      <c r="F84" s="24"/>
      <c r="G84" s="24"/>
      <c r="H84" s="24"/>
      <c r="I84" s="24"/>
      <c r="J84" s="137"/>
      <c r="K84" s="24"/>
      <c r="L84" s="24"/>
      <c r="M84" s="24"/>
      <c r="N84" s="137"/>
      <c r="O84" s="24"/>
      <c r="P84" s="24"/>
      <c r="Q84" s="24"/>
      <c r="R84" s="24"/>
      <c r="S84" s="24"/>
      <c r="T84" s="24"/>
      <c r="U84" s="24"/>
      <c r="V84" s="24"/>
      <c r="W84" s="24"/>
      <c r="X84" s="24"/>
      <c r="Y84" s="54"/>
      <c r="Z84" s="55"/>
      <c r="AA84" s="56"/>
      <c r="AB84" s="56"/>
    </row>
    <row r="85" spans="1:28" s="21" customFormat="1" ht="34.5" customHeight="1">
      <c r="A85" s="24"/>
      <c r="B85" s="24"/>
      <c r="C85" s="24"/>
      <c r="D85" s="24"/>
      <c r="E85" s="24"/>
      <c r="F85" s="24"/>
      <c r="G85" s="24"/>
      <c r="H85" s="24"/>
      <c r="I85" s="24"/>
      <c r="J85" s="137"/>
      <c r="K85" s="24"/>
      <c r="L85" s="24"/>
      <c r="M85" s="24"/>
      <c r="N85" s="137"/>
      <c r="O85" s="24"/>
      <c r="P85" s="24"/>
      <c r="Q85" s="24"/>
      <c r="R85" s="24"/>
      <c r="S85" s="24"/>
      <c r="T85" s="24"/>
      <c r="U85" s="24"/>
      <c r="V85" s="24"/>
      <c r="W85" s="24"/>
      <c r="X85" s="24"/>
      <c r="Y85" s="54"/>
      <c r="Z85" s="55"/>
      <c r="AA85" s="56"/>
      <c r="AB85" s="56"/>
    </row>
    <row r="86" spans="1:28" s="21" customFormat="1" ht="34.5" customHeight="1">
      <c r="A86" s="24"/>
      <c r="B86" s="24"/>
      <c r="C86" s="24"/>
      <c r="D86" s="24"/>
      <c r="E86" s="24"/>
      <c r="F86" s="24"/>
      <c r="G86" s="24"/>
      <c r="H86" s="24"/>
      <c r="I86" s="24"/>
      <c r="J86" s="137"/>
      <c r="K86" s="24"/>
      <c r="L86" s="24"/>
      <c r="M86" s="24"/>
      <c r="N86" s="137"/>
      <c r="O86" s="24"/>
      <c r="P86" s="24"/>
      <c r="Q86" s="24"/>
      <c r="R86" s="24"/>
      <c r="S86" s="24"/>
      <c r="T86" s="24"/>
      <c r="U86" s="24"/>
      <c r="V86" s="24"/>
      <c r="W86" s="24"/>
      <c r="X86" s="24"/>
      <c r="Y86" s="54"/>
      <c r="Z86" s="55"/>
      <c r="AA86" s="56"/>
      <c r="AB86" s="56"/>
    </row>
    <row r="87" spans="1:28" s="21" customFormat="1" ht="34.5" customHeight="1">
      <c r="A87" s="24"/>
      <c r="B87" s="24"/>
      <c r="C87" s="24"/>
      <c r="D87" s="24"/>
      <c r="E87" s="24"/>
      <c r="F87" s="24"/>
      <c r="G87" s="24"/>
      <c r="H87" s="24"/>
      <c r="I87" s="24"/>
      <c r="J87" s="137"/>
      <c r="K87" s="24"/>
      <c r="L87" s="24"/>
      <c r="M87" s="24"/>
      <c r="N87" s="137"/>
      <c r="O87" s="24"/>
      <c r="P87" s="24"/>
      <c r="Q87" s="24"/>
      <c r="R87" s="24"/>
      <c r="S87" s="24"/>
      <c r="T87" s="24"/>
      <c r="U87" s="24"/>
      <c r="V87" s="24"/>
      <c r="W87" s="24"/>
      <c r="X87" s="24"/>
      <c r="Y87" s="54"/>
      <c r="Z87" s="55"/>
      <c r="AA87" s="56"/>
      <c r="AB87" s="56"/>
    </row>
    <row r="88" spans="1:28" s="21" customFormat="1" ht="34.5" customHeight="1">
      <c r="A88" s="24"/>
      <c r="B88" s="24"/>
      <c r="C88" s="24"/>
      <c r="D88" s="24"/>
      <c r="E88" s="24"/>
      <c r="F88" s="24"/>
      <c r="G88" s="24"/>
      <c r="H88" s="24"/>
      <c r="I88" s="24"/>
      <c r="J88" s="137"/>
      <c r="K88" s="24"/>
      <c r="L88" s="24"/>
      <c r="M88" s="24"/>
      <c r="N88" s="137"/>
      <c r="O88" s="24"/>
      <c r="P88" s="24"/>
      <c r="Q88" s="24"/>
      <c r="R88" s="24"/>
      <c r="S88" s="24"/>
      <c r="T88" s="24"/>
      <c r="U88" s="24"/>
      <c r="V88" s="24"/>
      <c r="W88" s="24"/>
      <c r="X88" s="24"/>
      <c r="Y88" s="54"/>
      <c r="Z88" s="55"/>
      <c r="AA88" s="56"/>
      <c r="AB88" s="56"/>
    </row>
    <row r="89" spans="1:28" s="21" customFormat="1" ht="34.5" customHeight="1">
      <c r="A89" s="24"/>
      <c r="B89" s="24"/>
      <c r="C89" s="24"/>
      <c r="D89" s="24"/>
      <c r="E89" s="24"/>
      <c r="F89" s="24"/>
      <c r="G89" s="24"/>
      <c r="H89" s="24"/>
      <c r="I89" s="24"/>
      <c r="J89" s="137"/>
      <c r="K89" s="24"/>
      <c r="L89" s="24"/>
      <c r="M89" s="24"/>
      <c r="N89" s="137"/>
      <c r="O89" s="24"/>
      <c r="P89" s="24"/>
      <c r="Q89" s="24"/>
      <c r="R89" s="24"/>
      <c r="S89" s="24"/>
      <c r="T89" s="24"/>
      <c r="U89" s="24"/>
      <c r="V89" s="24"/>
      <c r="W89" s="24"/>
      <c r="X89" s="24"/>
      <c r="Y89" s="54"/>
      <c r="Z89" s="55"/>
      <c r="AA89" s="56"/>
      <c r="AB89" s="56"/>
    </row>
    <row r="90" spans="1:28" s="21" customFormat="1" ht="39" customHeight="1">
      <c r="A90" s="24"/>
      <c r="B90" s="24"/>
      <c r="C90" s="24"/>
      <c r="D90" s="24"/>
      <c r="E90" s="24"/>
      <c r="F90" s="24"/>
      <c r="G90" s="24"/>
      <c r="H90" s="24"/>
      <c r="I90" s="24"/>
      <c r="J90" s="137"/>
      <c r="K90" s="24"/>
      <c r="L90" s="24"/>
      <c r="M90" s="24"/>
      <c r="N90" s="137"/>
      <c r="O90" s="24"/>
      <c r="P90" s="24"/>
      <c r="Q90" s="24"/>
      <c r="R90" s="24"/>
      <c r="S90" s="24"/>
      <c r="T90" s="24"/>
      <c r="U90" s="24"/>
      <c r="V90" s="24"/>
      <c r="W90" s="24"/>
      <c r="X90" s="24"/>
      <c r="Y90" s="54"/>
      <c r="Z90" s="55"/>
      <c r="AA90" s="56"/>
      <c r="AB90" s="56"/>
    </row>
    <row r="91" spans="1:28" s="21" customFormat="1" ht="34.5" customHeight="1">
      <c r="A91" s="24"/>
      <c r="B91" s="24"/>
      <c r="C91" s="24"/>
      <c r="D91" s="24"/>
      <c r="E91" s="24"/>
      <c r="F91" s="24"/>
      <c r="G91" s="24"/>
      <c r="H91" s="24"/>
      <c r="I91" s="24"/>
      <c r="J91" s="137"/>
      <c r="K91" s="24"/>
      <c r="L91" s="24"/>
      <c r="M91" s="24"/>
      <c r="N91" s="137"/>
      <c r="O91" s="24"/>
      <c r="P91" s="24"/>
      <c r="Q91" s="24"/>
      <c r="R91" s="24"/>
      <c r="S91" s="24"/>
      <c r="T91" s="24"/>
      <c r="U91" s="24"/>
      <c r="V91" s="24"/>
      <c r="W91" s="24"/>
      <c r="X91" s="24"/>
      <c r="Y91" s="54"/>
      <c r="Z91" s="55"/>
      <c r="AA91" s="56"/>
      <c r="AB91" s="56"/>
    </row>
    <row r="92" spans="1:28" s="21" customFormat="1" ht="34.5" customHeight="1">
      <c r="A92" s="24"/>
      <c r="B92" s="24"/>
      <c r="C92" s="24"/>
      <c r="D92" s="24"/>
      <c r="E92" s="24"/>
      <c r="F92" s="24"/>
      <c r="G92" s="24"/>
      <c r="H92" s="24"/>
      <c r="I92" s="24"/>
      <c r="J92" s="137"/>
      <c r="K92" s="24"/>
      <c r="L92" s="24"/>
      <c r="M92" s="24"/>
      <c r="N92" s="137"/>
      <c r="O92" s="24"/>
      <c r="P92" s="24"/>
      <c r="Q92" s="24"/>
      <c r="R92" s="24"/>
      <c r="S92" s="24"/>
      <c r="T92" s="24"/>
      <c r="U92" s="24"/>
      <c r="V92" s="24"/>
      <c r="W92" s="24"/>
      <c r="X92" s="24"/>
      <c r="Y92" s="54"/>
      <c r="Z92" s="55"/>
      <c r="AA92" s="56"/>
      <c r="AB92" s="56"/>
    </row>
    <row r="93" spans="1:28" s="21" customFormat="1" ht="48" customHeight="1">
      <c r="A93" s="24"/>
      <c r="B93" s="24"/>
      <c r="C93" s="24"/>
      <c r="D93" s="24"/>
      <c r="E93" s="24"/>
      <c r="F93" s="24"/>
      <c r="G93" s="24"/>
      <c r="H93" s="24"/>
      <c r="I93" s="24"/>
      <c r="J93" s="137"/>
      <c r="K93" s="24"/>
      <c r="L93" s="24"/>
      <c r="M93" s="24"/>
      <c r="N93" s="137"/>
      <c r="O93" s="24"/>
      <c r="P93" s="24"/>
      <c r="Q93" s="24"/>
      <c r="R93" s="24"/>
      <c r="S93" s="24"/>
      <c r="T93" s="24"/>
      <c r="U93" s="24"/>
      <c r="V93" s="24"/>
      <c r="W93" s="24"/>
      <c r="X93" s="24"/>
      <c r="Y93" s="54"/>
      <c r="Z93" s="55"/>
      <c r="AA93" s="56"/>
      <c r="AB93" s="56"/>
    </row>
    <row r="94" spans="1:28" s="21" customFormat="1" ht="34.5" customHeight="1">
      <c r="A94" s="24"/>
      <c r="B94" s="24"/>
      <c r="C94" s="24"/>
      <c r="D94" s="24"/>
      <c r="E94" s="24"/>
      <c r="F94" s="24"/>
      <c r="G94" s="24"/>
      <c r="H94" s="24"/>
      <c r="I94" s="24"/>
      <c r="J94" s="137"/>
      <c r="K94" s="24"/>
      <c r="L94" s="24"/>
      <c r="M94" s="24"/>
      <c r="N94" s="137"/>
      <c r="O94" s="24"/>
      <c r="P94" s="24"/>
      <c r="Q94" s="24"/>
      <c r="R94" s="24"/>
      <c r="S94" s="24"/>
      <c r="T94" s="24"/>
      <c r="U94" s="24"/>
      <c r="V94" s="24"/>
      <c r="W94" s="24"/>
      <c r="X94" s="24"/>
      <c r="Y94" s="54"/>
      <c r="Z94" s="55"/>
      <c r="AA94" s="56"/>
      <c r="AB94" s="56"/>
    </row>
    <row r="95" spans="1:28" s="21" customFormat="1" ht="34.5" customHeight="1">
      <c r="A95" s="24"/>
      <c r="B95" s="24"/>
      <c r="C95" s="24"/>
      <c r="D95" s="24"/>
      <c r="E95" s="24"/>
      <c r="F95" s="24"/>
      <c r="G95" s="24"/>
      <c r="H95" s="24"/>
      <c r="I95" s="24"/>
      <c r="J95" s="137"/>
      <c r="K95" s="24"/>
      <c r="L95" s="24"/>
      <c r="M95" s="24"/>
      <c r="N95" s="137"/>
      <c r="O95" s="24"/>
      <c r="P95" s="24"/>
      <c r="Q95" s="24"/>
      <c r="R95" s="24"/>
      <c r="S95" s="24"/>
      <c r="T95" s="24"/>
      <c r="U95" s="24"/>
      <c r="V95" s="24"/>
      <c r="W95" s="24"/>
      <c r="X95" s="24"/>
      <c r="Y95" s="54"/>
      <c r="Z95" s="55"/>
      <c r="AA95" s="56"/>
      <c r="AB95" s="56"/>
    </row>
    <row r="96" spans="1:28" s="21" customFormat="1" ht="34.5" customHeight="1">
      <c r="A96" s="24"/>
      <c r="B96" s="24"/>
      <c r="C96" s="24"/>
      <c r="D96" s="24"/>
      <c r="E96" s="24"/>
      <c r="F96" s="24"/>
      <c r="G96" s="24"/>
      <c r="H96" s="24"/>
      <c r="I96" s="24"/>
      <c r="J96" s="137"/>
      <c r="K96" s="24"/>
      <c r="L96" s="24"/>
      <c r="M96" s="24"/>
      <c r="N96" s="137"/>
      <c r="O96" s="24"/>
      <c r="P96" s="24"/>
      <c r="Q96" s="24"/>
      <c r="R96" s="24"/>
      <c r="S96" s="24"/>
      <c r="T96" s="24"/>
      <c r="U96" s="24"/>
      <c r="V96" s="24"/>
      <c r="W96" s="24"/>
      <c r="X96" s="24"/>
      <c r="Y96" s="54"/>
      <c r="Z96" s="55"/>
      <c r="AA96" s="56"/>
      <c r="AB96" s="56"/>
    </row>
    <row r="97" spans="1:28" s="21" customFormat="1" ht="34.5" customHeight="1">
      <c r="A97" s="24"/>
      <c r="B97" s="24"/>
      <c r="C97" s="24"/>
      <c r="D97" s="24"/>
      <c r="E97" s="24"/>
      <c r="F97" s="24"/>
      <c r="G97" s="24"/>
      <c r="H97" s="24"/>
      <c r="I97" s="24"/>
      <c r="J97" s="137"/>
      <c r="K97" s="24"/>
      <c r="L97" s="24"/>
      <c r="M97" s="24"/>
      <c r="N97" s="137"/>
      <c r="O97" s="24"/>
      <c r="P97" s="24"/>
      <c r="Q97" s="24"/>
      <c r="R97" s="24"/>
      <c r="S97" s="24"/>
      <c r="T97" s="24"/>
      <c r="U97" s="24"/>
      <c r="V97" s="24"/>
      <c r="W97" s="24"/>
      <c r="X97" s="24"/>
      <c r="Y97" s="54"/>
      <c r="Z97" s="55"/>
      <c r="AA97" s="56"/>
      <c r="AB97" s="56"/>
    </row>
    <row r="98" spans="1:28" s="21" customFormat="1" ht="34.5" customHeight="1">
      <c r="A98" s="24"/>
      <c r="B98" s="24"/>
      <c r="C98" s="24"/>
      <c r="D98" s="24"/>
      <c r="E98" s="24"/>
      <c r="F98" s="24"/>
      <c r="G98" s="24"/>
      <c r="H98" s="24"/>
      <c r="I98" s="24"/>
      <c r="J98" s="137"/>
      <c r="K98" s="24"/>
      <c r="L98" s="24"/>
      <c r="M98" s="24"/>
      <c r="N98" s="137"/>
      <c r="O98" s="24"/>
      <c r="P98" s="24"/>
      <c r="Q98" s="24"/>
      <c r="R98" s="24"/>
      <c r="S98" s="24"/>
      <c r="T98" s="24"/>
      <c r="U98" s="24"/>
      <c r="V98" s="24"/>
      <c r="W98" s="24"/>
      <c r="X98" s="24"/>
      <c r="Y98" s="54"/>
      <c r="Z98" s="55"/>
      <c r="AA98" s="56"/>
      <c r="AB98" s="56"/>
    </row>
    <row r="99" spans="1:28" s="21" customFormat="1" ht="34.5" customHeight="1">
      <c r="A99" s="24"/>
      <c r="B99" s="24"/>
      <c r="C99" s="24"/>
      <c r="D99" s="24"/>
      <c r="E99" s="24"/>
      <c r="F99" s="24"/>
      <c r="G99" s="24"/>
      <c r="H99" s="24"/>
      <c r="I99" s="24"/>
      <c r="J99" s="137"/>
      <c r="K99" s="24"/>
      <c r="L99" s="24"/>
      <c r="M99" s="24"/>
      <c r="N99" s="137"/>
      <c r="O99" s="24"/>
      <c r="P99" s="24"/>
      <c r="Q99" s="24"/>
      <c r="R99" s="24"/>
      <c r="S99" s="24"/>
      <c r="T99" s="24"/>
      <c r="U99" s="24"/>
      <c r="V99" s="24"/>
      <c r="W99" s="24"/>
      <c r="X99" s="24"/>
      <c r="Y99" s="54"/>
      <c r="Z99" s="55"/>
      <c r="AA99" s="56"/>
      <c r="AB99" s="56"/>
    </row>
    <row r="100" spans="1:28" s="21" customFormat="1" ht="34.5" customHeight="1">
      <c r="A100" s="24"/>
      <c r="B100" s="24"/>
      <c r="C100" s="24"/>
      <c r="D100" s="24"/>
      <c r="E100" s="24"/>
      <c r="F100" s="24"/>
      <c r="G100" s="24"/>
      <c r="H100" s="24"/>
      <c r="I100" s="24"/>
      <c r="J100" s="137"/>
      <c r="K100" s="24"/>
      <c r="L100" s="24"/>
      <c r="M100" s="24"/>
      <c r="N100" s="137"/>
      <c r="O100" s="24"/>
      <c r="P100" s="24"/>
      <c r="Q100" s="24"/>
      <c r="R100" s="24"/>
      <c r="S100" s="24"/>
      <c r="T100" s="24"/>
      <c r="U100" s="24"/>
      <c r="V100" s="24"/>
      <c r="W100" s="24"/>
      <c r="X100" s="24"/>
      <c r="Y100" s="54"/>
      <c r="Z100" s="55"/>
      <c r="AA100" s="56"/>
      <c r="AB100" s="56"/>
    </row>
    <row r="101" spans="1:28" s="21" customFormat="1" ht="34.5" customHeight="1">
      <c r="A101" s="24"/>
      <c r="B101" s="24"/>
      <c r="C101" s="24"/>
      <c r="D101" s="24"/>
      <c r="E101" s="24"/>
      <c r="F101" s="24"/>
      <c r="G101" s="24"/>
      <c r="H101" s="24"/>
      <c r="I101" s="24"/>
      <c r="J101" s="137"/>
      <c r="K101" s="24"/>
      <c r="L101" s="24"/>
      <c r="M101" s="24"/>
      <c r="N101" s="137"/>
      <c r="O101" s="24"/>
      <c r="P101" s="24"/>
      <c r="Q101" s="24"/>
      <c r="R101" s="24"/>
      <c r="S101" s="24"/>
      <c r="T101" s="24"/>
      <c r="U101" s="24"/>
      <c r="V101" s="24"/>
      <c r="W101" s="24"/>
      <c r="X101" s="24"/>
      <c r="Y101" s="54"/>
      <c r="Z101" s="55"/>
      <c r="AA101" s="56"/>
      <c r="AB101" s="56"/>
    </row>
    <row r="102" spans="1:28" s="21" customFormat="1" ht="34.5" customHeight="1">
      <c r="A102" s="24"/>
      <c r="B102" s="24"/>
      <c r="C102" s="24"/>
      <c r="D102" s="24"/>
      <c r="E102" s="24"/>
      <c r="F102" s="24"/>
      <c r="G102" s="24"/>
      <c r="H102" s="24"/>
      <c r="I102" s="24"/>
      <c r="J102" s="137"/>
      <c r="K102" s="24"/>
      <c r="L102" s="24"/>
      <c r="M102" s="24"/>
      <c r="N102" s="137"/>
      <c r="O102" s="24"/>
      <c r="P102" s="24"/>
      <c r="Q102" s="24"/>
      <c r="R102" s="24"/>
      <c r="S102" s="24"/>
      <c r="T102" s="24"/>
      <c r="U102" s="24"/>
      <c r="V102" s="24"/>
      <c r="W102" s="24"/>
      <c r="X102" s="24"/>
      <c r="Y102" s="54"/>
      <c r="Z102" s="55"/>
      <c r="AA102" s="56"/>
      <c r="AB102" s="56"/>
    </row>
    <row r="103" spans="1:28" s="21" customFormat="1" ht="34.5" customHeight="1">
      <c r="A103" s="24"/>
      <c r="B103" s="24"/>
      <c r="C103" s="24"/>
      <c r="D103" s="24"/>
      <c r="E103" s="24"/>
      <c r="F103" s="24"/>
      <c r="G103" s="24"/>
      <c r="H103" s="24"/>
      <c r="I103" s="24"/>
      <c r="J103" s="137"/>
      <c r="K103" s="24"/>
      <c r="L103" s="24"/>
      <c r="M103" s="24"/>
      <c r="N103" s="137"/>
      <c r="O103" s="24"/>
      <c r="P103" s="24"/>
      <c r="Q103" s="24"/>
      <c r="R103" s="24"/>
      <c r="S103" s="24"/>
      <c r="T103" s="24"/>
      <c r="U103" s="24"/>
      <c r="V103" s="24"/>
      <c r="W103" s="24"/>
      <c r="X103" s="24"/>
      <c r="Y103" s="54"/>
      <c r="Z103" s="55"/>
      <c r="AA103" s="56"/>
      <c r="AB103" s="56"/>
    </row>
    <row r="104" spans="1:28" s="21" customFormat="1" ht="34.5" customHeight="1">
      <c r="A104" s="24"/>
      <c r="B104" s="24"/>
      <c r="C104" s="24"/>
      <c r="D104" s="24"/>
      <c r="E104" s="24"/>
      <c r="F104" s="24"/>
      <c r="G104" s="24"/>
      <c r="H104" s="24"/>
      <c r="I104" s="24"/>
      <c r="J104" s="137"/>
      <c r="K104" s="24"/>
      <c r="L104" s="24"/>
      <c r="M104" s="24"/>
      <c r="N104" s="137"/>
      <c r="O104" s="24"/>
      <c r="P104" s="24"/>
      <c r="Q104" s="24"/>
      <c r="R104" s="24"/>
      <c r="S104" s="24"/>
      <c r="T104" s="24"/>
      <c r="U104" s="24"/>
      <c r="V104" s="24"/>
      <c r="W104" s="24"/>
      <c r="X104" s="24"/>
      <c r="Y104" s="54"/>
      <c r="Z104" s="55"/>
      <c r="AA104" s="56"/>
      <c r="AB104" s="56"/>
    </row>
    <row r="105" spans="1:28" s="21" customFormat="1" ht="34.5" customHeight="1">
      <c r="A105" s="24"/>
      <c r="B105" s="24"/>
      <c r="C105" s="24"/>
      <c r="D105" s="24"/>
      <c r="E105" s="24"/>
      <c r="F105" s="24"/>
      <c r="G105" s="24"/>
      <c r="H105" s="24"/>
      <c r="I105" s="24"/>
      <c r="J105" s="137"/>
      <c r="K105" s="24"/>
      <c r="L105" s="24"/>
      <c r="M105" s="24"/>
      <c r="N105" s="137"/>
      <c r="O105" s="24"/>
      <c r="P105" s="24"/>
      <c r="Q105" s="24"/>
      <c r="R105" s="24"/>
      <c r="S105" s="24"/>
      <c r="T105" s="24"/>
      <c r="U105" s="24"/>
      <c r="V105" s="24"/>
      <c r="W105" s="24"/>
      <c r="X105" s="24"/>
      <c r="Y105" s="54"/>
      <c r="Z105" s="55"/>
      <c r="AA105" s="56"/>
      <c r="AB105" s="56"/>
    </row>
    <row r="106" spans="1:28" s="21" customFormat="1" ht="34.5" customHeight="1">
      <c r="A106" s="24"/>
      <c r="B106" s="24"/>
      <c r="C106" s="24"/>
      <c r="D106" s="24"/>
      <c r="E106" s="24"/>
      <c r="F106" s="24"/>
      <c r="G106" s="24"/>
      <c r="H106" s="24"/>
      <c r="I106" s="24"/>
      <c r="J106" s="137"/>
      <c r="K106" s="24"/>
      <c r="L106" s="24"/>
      <c r="M106" s="24"/>
      <c r="N106" s="137"/>
      <c r="O106" s="24"/>
      <c r="P106" s="24"/>
      <c r="Q106" s="24"/>
      <c r="R106" s="24"/>
      <c r="S106" s="24"/>
      <c r="T106" s="24"/>
      <c r="U106" s="24"/>
      <c r="V106" s="24"/>
      <c r="W106" s="24"/>
      <c r="X106" s="24"/>
      <c r="Y106" s="54"/>
      <c r="Z106" s="55"/>
      <c r="AA106" s="56"/>
      <c r="AB106" s="56"/>
    </row>
    <row r="107" spans="1:28" s="21" customFormat="1" ht="34.5" customHeight="1">
      <c r="A107" s="24"/>
      <c r="B107" s="24"/>
      <c r="C107" s="24"/>
      <c r="D107" s="24"/>
      <c r="E107" s="24"/>
      <c r="F107" s="24"/>
      <c r="G107" s="24"/>
      <c r="H107" s="24"/>
      <c r="I107" s="24"/>
      <c r="J107" s="137"/>
      <c r="K107" s="24"/>
      <c r="L107" s="24"/>
      <c r="M107" s="24"/>
      <c r="N107" s="137"/>
      <c r="O107" s="24"/>
      <c r="P107" s="24"/>
      <c r="Q107" s="24"/>
      <c r="R107" s="24"/>
      <c r="S107" s="24"/>
      <c r="T107" s="24"/>
      <c r="U107" s="24"/>
      <c r="V107" s="24"/>
      <c r="W107" s="24"/>
      <c r="X107" s="24"/>
      <c r="Y107" s="54"/>
      <c r="Z107" s="55"/>
      <c r="AA107" s="56"/>
      <c r="AB107" s="56"/>
    </row>
    <row r="108" spans="1:28" s="21" customFormat="1" ht="34.5" customHeight="1">
      <c r="A108" s="24"/>
      <c r="B108" s="24"/>
      <c r="C108" s="24"/>
      <c r="D108" s="24"/>
      <c r="E108" s="24"/>
      <c r="F108" s="24"/>
      <c r="G108" s="24"/>
      <c r="H108" s="24"/>
      <c r="I108" s="24"/>
      <c r="J108" s="137"/>
      <c r="K108" s="24"/>
      <c r="L108" s="24"/>
      <c r="M108" s="24"/>
      <c r="N108" s="137"/>
      <c r="O108" s="24"/>
      <c r="P108" s="24"/>
      <c r="Q108" s="24"/>
      <c r="R108" s="24"/>
      <c r="S108" s="24"/>
      <c r="T108" s="24"/>
      <c r="U108" s="24"/>
      <c r="V108" s="24"/>
      <c r="W108" s="24"/>
      <c r="X108" s="24"/>
      <c r="Y108" s="54"/>
      <c r="Z108" s="55"/>
      <c r="AA108" s="56"/>
      <c r="AB108" s="56"/>
    </row>
    <row r="109" spans="1:28" s="21" customFormat="1" ht="34.5" customHeight="1">
      <c r="A109" s="24"/>
      <c r="B109" s="24"/>
      <c r="C109" s="24"/>
      <c r="D109" s="24"/>
      <c r="E109" s="24"/>
      <c r="F109" s="24"/>
      <c r="G109" s="24"/>
      <c r="H109" s="24"/>
      <c r="I109" s="24"/>
      <c r="J109" s="137"/>
      <c r="K109" s="24"/>
      <c r="L109" s="24"/>
      <c r="M109" s="24"/>
      <c r="N109" s="137"/>
      <c r="O109" s="24"/>
      <c r="P109" s="24"/>
      <c r="Q109" s="24"/>
      <c r="R109" s="24"/>
      <c r="S109" s="24"/>
      <c r="T109" s="24"/>
      <c r="U109" s="24"/>
      <c r="V109" s="24"/>
      <c r="W109" s="24"/>
      <c r="X109" s="24"/>
      <c r="Y109" s="54"/>
      <c r="Z109" s="55"/>
      <c r="AA109" s="56"/>
      <c r="AB109" s="56"/>
    </row>
    <row r="110" spans="1:28" s="21" customFormat="1" ht="34.5" customHeight="1">
      <c r="A110" s="24"/>
      <c r="B110" s="24"/>
      <c r="C110" s="24"/>
      <c r="D110" s="24"/>
      <c r="E110" s="24"/>
      <c r="F110" s="24"/>
      <c r="G110" s="24"/>
      <c r="H110" s="24"/>
      <c r="I110" s="24"/>
      <c r="J110" s="137"/>
      <c r="K110" s="24"/>
      <c r="L110" s="24"/>
      <c r="M110" s="24"/>
      <c r="N110" s="137"/>
      <c r="O110" s="24"/>
      <c r="P110" s="24"/>
      <c r="Q110" s="24"/>
      <c r="R110" s="24"/>
      <c r="S110" s="24"/>
      <c r="T110" s="24"/>
      <c r="U110" s="24"/>
      <c r="V110" s="24"/>
      <c r="W110" s="24"/>
      <c r="X110" s="24"/>
      <c r="Y110" s="54"/>
      <c r="Z110" s="55"/>
      <c r="AA110" s="56"/>
      <c r="AB110" s="56"/>
    </row>
    <row r="111" spans="1:28" s="21" customFormat="1" ht="46.5" customHeight="1">
      <c r="A111" s="24"/>
      <c r="B111" s="24"/>
      <c r="C111" s="24"/>
      <c r="D111" s="24"/>
      <c r="E111" s="24"/>
      <c r="F111" s="24"/>
      <c r="G111" s="24"/>
      <c r="H111" s="24"/>
      <c r="I111" s="24"/>
      <c r="J111" s="137"/>
      <c r="K111" s="24"/>
      <c r="L111" s="24"/>
      <c r="M111" s="24"/>
      <c r="N111" s="137"/>
      <c r="O111" s="24"/>
      <c r="P111" s="24"/>
      <c r="Q111" s="24"/>
      <c r="R111" s="24"/>
      <c r="S111" s="24"/>
      <c r="T111" s="24"/>
      <c r="U111" s="24"/>
      <c r="V111" s="24"/>
      <c r="W111" s="24"/>
      <c r="X111" s="24"/>
      <c r="Y111" s="54"/>
      <c r="Z111" s="55"/>
      <c r="AA111" s="56"/>
      <c r="AB111" s="56"/>
    </row>
    <row r="112" spans="1:28" s="21" customFormat="1" ht="34.5" customHeight="1">
      <c r="A112" s="24"/>
      <c r="B112" s="24"/>
      <c r="C112" s="24"/>
      <c r="D112" s="24"/>
      <c r="E112" s="24"/>
      <c r="F112" s="24"/>
      <c r="G112" s="24"/>
      <c r="H112" s="24"/>
      <c r="I112" s="24"/>
      <c r="J112" s="137"/>
      <c r="K112" s="24"/>
      <c r="L112" s="24"/>
      <c r="M112" s="24"/>
      <c r="N112" s="137"/>
      <c r="O112" s="24"/>
      <c r="P112" s="24"/>
      <c r="Q112" s="24"/>
      <c r="R112" s="24"/>
      <c r="S112" s="24"/>
      <c r="T112" s="24"/>
      <c r="U112" s="24"/>
      <c r="V112" s="24"/>
      <c r="W112" s="24"/>
      <c r="X112" s="24"/>
      <c r="Y112" s="54"/>
      <c r="Z112" s="55"/>
      <c r="AA112" s="56"/>
      <c r="AB112" s="56"/>
    </row>
    <row r="113" spans="1:28" s="21" customFormat="1" ht="34.5" customHeight="1">
      <c r="A113" s="4"/>
      <c r="B113" s="24"/>
      <c r="C113" s="24"/>
      <c r="D113" s="24"/>
      <c r="E113" s="24"/>
      <c r="F113" s="24"/>
      <c r="G113" s="24"/>
      <c r="H113" s="24"/>
      <c r="I113" s="24"/>
      <c r="J113" s="137"/>
      <c r="K113" s="24"/>
      <c r="L113" s="24"/>
      <c r="M113" s="24"/>
      <c r="N113" s="137"/>
      <c r="O113" s="24"/>
      <c r="P113" s="24"/>
      <c r="Q113" s="24"/>
      <c r="R113" s="24"/>
      <c r="S113" s="24"/>
      <c r="T113" s="24"/>
      <c r="U113" s="24"/>
      <c r="V113" s="24"/>
      <c r="W113" s="24"/>
      <c r="X113" s="24"/>
      <c r="Y113" s="54"/>
      <c r="Z113" s="55"/>
      <c r="AA113" s="56"/>
      <c r="AB113" s="56"/>
    </row>
    <row r="114" spans="1:28" s="21" customFormat="1" ht="34.5" customHeight="1">
      <c r="A114" s="24"/>
      <c r="B114" s="24"/>
      <c r="C114" s="24"/>
      <c r="D114" s="24"/>
      <c r="E114" s="24"/>
      <c r="F114" s="24"/>
      <c r="G114" s="24"/>
      <c r="H114" s="24"/>
      <c r="I114" s="24"/>
      <c r="J114" s="137"/>
      <c r="K114" s="24"/>
      <c r="L114" s="24"/>
      <c r="M114" s="24"/>
      <c r="N114" s="137"/>
      <c r="O114" s="24"/>
      <c r="P114" s="24"/>
      <c r="Q114" s="24"/>
      <c r="R114" s="24"/>
      <c r="S114" s="24"/>
      <c r="T114" s="24"/>
      <c r="U114" s="24"/>
      <c r="V114" s="24"/>
      <c r="W114" s="24"/>
      <c r="X114" s="24"/>
      <c r="Y114" s="54"/>
      <c r="Z114" s="55"/>
      <c r="AA114" s="56"/>
      <c r="AB114" s="56"/>
    </row>
    <row r="115" spans="1:28" s="21" customFormat="1" ht="34.5" customHeight="1">
      <c r="A115" s="24"/>
      <c r="B115" s="24"/>
      <c r="C115" s="24"/>
      <c r="D115" s="24"/>
      <c r="E115" s="24"/>
      <c r="F115" s="24"/>
      <c r="G115" s="24"/>
      <c r="H115" s="24"/>
      <c r="I115" s="24"/>
      <c r="J115" s="137"/>
      <c r="K115" s="24"/>
      <c r="L115" s="24"/>
      <c r="M115" s="24"/>
      <c r="N115" s="137"/>
      <c r="O115" s="24"/>
      <c r="P115" s="24"/>
      <c r="Q115" s="24"/>
      <c r="R115" s="24"/>
      <c r="S115" s="24"/>
      <c r="T115" s="24"/>
      <c r="U115" s="24"/>
      <c r="V115" s="24"/>
      <c r="W115" s="24"/>
      <c r="X115" s="24"/>
      <c r="Y115" s="54"/>
      <c r="Z115" s="55"/>
      <c r="AA115" s="56"/>
      <c r="AB115" s="56"/>
    </row>
    <row r="116" spans="1:28" s="21" customFormat="1" ht="34.5" customHeight="1">
      <c r="A116" s="24"/>
      <c r="B116" s="24"/>
      <c r="C116" s="24"/>
      <c r="D116" s="24"/>
      <c r="E116" s="24"/>
      <c r="F116" s="24"/>
      <c r="G116" s="24"/>
      <c r="H116" s="24"/>
      <c r="I116" s="24"/>
      <c r="J116" s="137"/>
      <c r="K116" s="24"/>
      <c r="L116" s="24"/>
      <c r="M116" s="24"/>
      <c r="N116" s="137"/>
      <c r="O116" s="24"/>
      <c r="P116" s="24"/>
      <c r="Q116" s="24"/>
      <c r="R116" s="24"/>
      <c r="S116" s="24"/>
      <c r="T116" s="24"/>
      <c r="U116" s="24"/>
      <c r="V116" s="24"/>
      <c r="W116" s="24"/>
      <c r="X116" s="24"/>
      <c r="Y116" s="54"/>
      <c r="Z116" s="55"/>
      <c r="AA116" s="56"/>
      <c r="AB116" s="56"/>
    </row>
    <row r="117" spans="1:28" s="21" customFormat="1" ht="34.5" customHeight="1">
      <c r="A117" s="24"/>
      <c r="B117" s="24"/>
      <c r="C117" s="24"/>
      <c r="D117" s="24"/>
      <c r="E117" s="24"/>
      <c r="F117" s="24"/>
      <c r="G117" s="24"/>
      <c r="H117" s="24"/>
      <c r="I117" s="24"/>
      <c r="J117" s="137"/>
      <c r="K117" s="24"/>
      <c r="L117" s="24"/>
      <c r="M117" s="24"/>
      <c r="N117" s="137"/>
      <c r="O117" s="24"/>
      <c r="P117" s="24"/>
      <c r="Q117" s="24"/>
      <c r="R117" s="24"/>
      <c r="S117" s="24"/>
      <c r="T117" s="24"/>
      <c r="U117" s="24"/>
      <c r="V117" s="24"/>
      <c r="W117" s="24"/>
      <c r="X117" s="24"/>
      <c r="Y117" s="54"/>
      <c r="Z117" s="55"/>
      <c r="AA117" s="56"/>
      <c r="AB117" s="56"/>
    </row>
    <row r="118" spans="1:28" s="21" customFormat="1" ht="42.75" customHeight="1">
      <c r="A118" s="24"/>
      <c r="B118" s="24"/>
      <c r="C118" s="24"/>
      <c r="D118" s="24"/>
      <c r="E118" s="24"/>
      <c r="F118" s="24"/>
      <c r="G118" s="24"/>
      <c r="H118" s="24"/>
      <c r="I118" s="24"/>
      <c r="J118" s="137"/>
      <c r="K118" s="24"/>
      <c r="L118" s="24"/>
      <c r="M118" s="24"/>
      <c r="N118" s="137"/>
      <c r="O118" s="24"/>
      <c r="P118" s="24"/>
      <c r="Q118" s="24"/>
      <c r="R118" s="24"/>
      <c r="S118" s="24"/>
      <c r="T118" s="24"/>
      <c r="U118" s="24"/>
      <c r="V118" s="24"/>
      <c r="W118" s="24"/>
      <c r="X118" s="24"/>
      <c r="Y118" s="54"/>
      <c r="Z118" s="55"/>
      <c r="AA118" s="56"/>
      <c r="AB118" s="56"/>
    </row>
    <row r="119" spans="1:28" s="21" customFormat="1" ht="34.5" customHeight="1">
      <c r="A119" s="24"/>
      <c r="B119" s="24"/>
      <c r="C119" s="24"/>
      <c r="D119" s="24"/>
      <c r="E119" s="24"/>
      <c r="F119" s="24"/>
      <c r="G119" s="24"/>
      <c r="H119" s="24"/>
      <c r="I119" s="24"/>
      <c r="J119" s="137"/>
      <c r="K119" s="24"/>
      <c r="L119" s="24"/>
      <c r="M119" s="24"/>
      <c r="N119" s="137"/>
      <c r="O119" s="24"/>
      <c r="P119" s="24"/>
      <c r="Q119" s="24"/>
      <c r="R119" s="24"/>
      <c r="S119" s="24"/>
      <c r="T119" s="24"/>
      <c r="U119" s="24"/>
      <c r="V119" s="24"/>
      <c r="W119" s="24"/>
      <c r="X119" s="24"/>
      <c r="Y119" s="54"/>
      <c r="Z119" s="55"/>
      <c r="AA119" s="56"/>
      <c r="AB119" s="56"/>
    </row>
    <row r="120" spans="1:28" s="21" customFormat="1" ht="34.5" customHeight="1">
      <c r="A120" s="24"/>
      <c r="B120" s="24"/>
      <c r="C120" s="24"/>
      <c r="D120" s="24"/>
      <c r="E120" s="24"/>
      <c r="F120" s="24"/>
      <c r="G120" s="24"/>
      <c r="H120" s="24"/>
      <c r="I120" s="24"/>
      <c r="J120" s="137"/>
      <c r="K120" s="24"/>
      <c r="L120" s="24"/>
      <c r="M120" s="24"/>
      <c r="N120" s="137"/>
      <c r="O120" s="24"/>
      <c r="P120" s="24"/>
      <c r="Q120" s="24"/>
      <c r="R120" s="24"/>
      <c r="S120" s="24"/>
      <c r="T120" s="24"/>
      <c r="U120" s="24"/>
      <c r="V120" s="24"/>
      <c r="W120" s="24"/>
      <c r="X120" s="24"/>
      <c r="Y120" s="54"/>
      <c r="Z120" s="55"/>
      <c r="AA120" s="56"/>
      <c r="AB120" s="56"/>
    </row>
    <row r="121" spans="1:28" s="21" customFormat="1" ht="34.5" customHeight="1">
      <c r="A121" s="24"/>
      <c r="B121" s="24"/>
      <c r="C121" s="24"/>
      <c r="D121" s="24"/>
      <c r="E121" s="24"/>
      <c r="F121" s="24"/>
      <c r="G121" s="24"/>
      <c r="H121" s="24"/>
      <c r="I121" s="24"/>
      <c r="J121" s="137"/>
      <c r="K121" s="24"/>
      <c r="L121" s="24"/>
      <c r="M121" s="24"/>
      <c r="N121" s="137"/>
      <c r="O121" s="24"/>
      <c r="P121" s="24"/>
      <c r="Q121" s="24"/>
      <c r="R121" s="24"/>
      <c r="S121" s="24"/>
      <c r="T121" s="24"/>
      <c r="U121" s="24"/>
      <c r="V121" s="24"/>
      <c r="W121" s="24"/>
      <c r="X121" s="24"/>
      <c r="Y121" s="54"/>
      <c r="Z121" s="55"/>
      <c r="AA121" s="56"/>
      <c r="AB121" s="56"/>
    </row>
    <row r="122" spans="1:28" s="21" customFormat="1" ht="34.5" customHeight="1">
      <c r="A122" s="24"/>
      <c r="B122" s="24"/>
      <c r="C122" s="24"/>
      <c r="D122" s="24"/>
      <c r="E122" s="24"/>
      <c r="F122" s="24"/>
      <c r="G122" s="24"/>
      <c r="H122" s="24"/>
      <c r="I122" s="24"/>
      <c r="J122" s="137"/>
      <c r="K122" s="24"/>
      <c r="L122" s="24"/>
      <c r="M122" s="24"/>
      <c r="N122" s="137"/>
      <c r="O122" s="24"/>
      <c r="P122" s="24"/>
      <c r="Q122" s="24"/>
      <c r="R122" s="24"/>
      <c r="S122" s="24"/>
      <c r="T122" s="24"/>
      <c r="U122" s="24"/>
      <c r="V122" s="24"/>
      <c r="W122" s="24"/>
      <c r="X122" s="24"/>
      <c r="Y122" s="54"/>
      <c r="Z122" s="55"/>
      <c r="AA122" s="56"/>
      <c r="AB122" s="56"/>
    </row>
    <row r="123" spans="1:28" s="21" customFormat="1" ht="34.5" customHeight="1">
      <c r="A123" s="24"/>
      <c r="B123" s="24"/>
      <c r="C123" s="24"/>
      <c r="D123" s="24"/>
      <c r="E123" s="24"/>
      <c r="F123" s="24"/>
      <c r="G123" s="24"/>
      <c r="H123" s="24"/>
      <c r="I123" s="24"/>
      <c r="J123" s="137"/>
      <c r="K123" s="24"/>
      <c r="L123" s="24"/>
      <c r="M123" s="24"/>
      <c r="N123" s="137"/>
      <c r="O123" s="24"/>
      <c r="P123" s="24"/>
      <c r="Q123" s="24"/>
      <c r="R123" s="24"/>
      <c r="S123" s="24"/>
      <c r="T123" s="24"/>
      <c r="U123" s="24"/>
      <c r="V123" s="24"/>
      <c r="W123" s="24"/>
      <c r="X123" s="24"/>
      <c r="Y123" s="54"/>
      <c r="Z123" s="55"/>
      <c r="AA123" s="56"/>
      <c r="AB123" s="56"/>
    </row>
    <row r="124" spans="1:28" s="21" customFormat="1" ht="34.5" customHeight="1">
      <c r="A124" s="24"/>
      <c r="B124" s="24"/>
      <c r="C124" s="24"/>
      <c r="D124" s="24"/>
      <c r="E124" s="24"/>
      <c r="F124" s="24"/>
      <c r="G124" s="24"/>
      <c r="H124" s="24"/>
      <c r="I124" s="24"/>
      <c r="J124" s="137"/>
      <c r="K124" s="24"/>
      <c r="L124" s="24"/>
      <c r="M124" s="24"/>
      <c r="N124" s="137"/>
      <c r="O124" s="24"/>
      <c r="P124" s="24"/>
      <c r="Q124" s="24"/>
      <c r="R124" s="24"/>
      <c r="S124" s="24"/>
      <c r="T124" s="24"/>
      <c r="U124" s="24"/>
      <c r="V124" s="24"/>
      <c r="W124" s="24"/>
      <c r="X124" s="24"/>
      <c r="Y124" s="54"/>
      <c r="Z124" s="55"/>
      <c r="AA124" s="56"/>
      <c r="AB124" s="56"/>
    </row>
    <row r="125" spans="1:28" s="21" customFormat="1" ht="34.5" customHeight="1">
      <c r="A125" s="24"/>
      <c r="B125" s="24"/>
      <c r="C125" s="24"/>
      <c r="D125" s="24"/>
      <c r="E125" s="24"/>
      <c r="F125" s="24"/>
      <c r="G125" s="24"/>
      <c r="H125" s="24"/>
      <c r="I125" s="24"/>
      <c r="J125" s="137"/>
      <c r="K125" s="24"/>
      <c r="L125" s="24"/>
      <c r="M125" s="24"/>
      <c r="N125" s="137"/>
      <c r="O125" s="24"/>
      <c r="P125" s="24"/>
      <c r="Q125" s="24"/>
      <c r="R125" s="24"/>
      <c r="S125" s="24"/>
      <c r="T125" s="24"/>
      <c r="U125" s="24"/>
      <c r="V125" s="24"/>
      <c r="W125" s="24"/>
      <c r="X125" s="24"/>
      <c r="Y125" s="54"/>
      <c r="Z125" s="55"/>
      <c r="AA125" s="56"/>
      <c r="AB125" s="56"/>
    </row>
    <row r="126" spans="1:28" s="21" customFormat="1" ht="34.5" customHeight="1">
      <c r="A126" s="24"/>
      <c r="B126" s="24"/>
      <c r="C126" s="24"/>
      <c r="D126" s="24"/>
      <c r="E126" s="24"/>
      <c r="F126" s="24"/>
      <c r="G126" s="24"/>
      <c r="H126" s="24"/>
      <c r="I126" s="24"/>
      <c r="J126" s="137"/>
      <c r="K126" s="24"/>
      <c r="L126" s="24"/>
      <c r="M126" s="24"/>
      <c r="N126" s="137"/>
      <c r="O126" s="24"/>
      <c r="P126" s="24"/>
      <c r="Q126" s="24"/>
      <c r="R126" s="24"/>
      <c r="S126" s="24"/>
      <c r="T126" s="24"/>
      <c r="U126" s="24"/>
      <c r="V126" s="24"/>
      <c r="W126" s="24"/>
      <c r="X126" s="24"/>
      <c r="Y126" s="54"/>
      <c r="Z126" s="55"/>
      <c r="AA126" s="56"/>
      <c r="AB126" s="56"/>
    </row>
    <row r="127" spans="1:28" s="21" customFormat="1" ht="34.5" customHeight="1">
      <c r="A127" s="24"/>
      <c r="B127" s="24"/>
      <c r="C127" s="24"/>
      <c r="D127" s="24"/>
      <c r="E127" s="24"/>
      <c r="F127" s="24"/>
      <c r="G127" s="24"/>
      <c r="H127" s="24"/>
      <c r="I127" s="24"/>
      <c r="J127" s="137"/>
      <c r="K127" s="24"/>
      <c r="L127" s="24"/>
      <c r="M127" s="24"/>
      <c r="N127" s="137"/>
      <c r="O127" s="24"/>
      <c r="P127" s="24"/>
      <c r="Q127" s="24"/>
      <c r="R127" s="24"/>
      <c r="S127" s="24"/>
      <c r="T127" s="24"/>
      <c r="U127" s="24"/>
      <c r="V127" s="24"/>
      <c r="W127" s="24"/>
      <c r="X127" s="24"/>
      <c r="Y127" s="54"/>
      <c r="Z127" s="55"/>
      <c r="AA127" s="56"/>
      <c r="AB127" s="56"/>
    </row>
    <row r="128" spans="1:28" s="21" customFormat="1" ht="34.5" customHeight="1">
      <c r="A128" s="24"/>
      <c r="B128" s="24"/>
      <c r="C128" s="24"/>
      <c r="D128" s="24"/>
      <c r="E128" s="24"/>
      <c r="F128" s="24"/>
      <c r="G128" s="24"/>
      <c r="H128" s="24"/>
      <c r="I128" s="24"/>
      <c r="J128" s="137"/>
      <c r="K128" s="24"/>
      <c r="L128" s="24"/>
      <c r="M128" s="24"/>
      <c r="N128" s="137"/>
      <c r="O128" s="24"/>
      <c r="P128" s="24"/>
      <c r="Q128" s="24"/>
      <c r="R128" s="24"/>
      <c r="S128" s="24"/>
      <c r="T128" s="24"/>
      <c r="U128" s="24"/>
      <c r="V128" s="24"/>
      <c r="W128" s="24"/>
      <c r="X128" s="24"/>
      <c r="Y128" s="54"/>
      <c r="Z128" s="55"/>
      <c r="AA128" s="56"/>
      <c r="AB128" s="56"/>
    </row>
    <row r="129" spans="1:28" s="21" customFormat="1" ht="34.5" customHeight="1">
      <c r="A129" s="24"/>
      <c r="B129" s="24"/>
      <c r="C129" s="24"/>
      <c r="D129" s="24"/>
      <c r="E129" s="24"/>
      <c r="F129" s="24"/>
      <c r="G129" s="24"/>
      <c r="H129" s="24"/>
      <c r="I129" s="24"/>
      <c r="J129" s="137"/>
      <c r="K129" s="24"/>
      <c r="L129" s="24"/>
      <c r="M129" s="24"/>
      <c r="N129" s="137"/>
      <c r="O129" s="24"/>
      <c r="P129" s="24"/>
      <c r="Q129" s="24"/>
      <c r="R129" s="24"/>
      <c r="S129" s="24"/>
      <c r="T129" s="24"/>
      <c r="U129" s="24"/>
      <c r="V129" s="24"/>
      <c r="W129" s="24"/>
      <c r="X129" s="24"/>
      <c r="Y129" s="54"/>
      <c r="Z129" s="55"/>
      <c r="AA129" s="56"/>
      <c r="AB129" s="56"/>
    </row>
    <row r="130" spans="1:28" s="21" customFormat="1" ht="34.5" customHeight="1">
      <c r="A130" s="24"/>
      <c r="B130" s="24"/>
      <c r="C130" s="24"/>
      <c r="D130" s="24"/>
      <c r="E130" s="24"/>
      <c r="F130" s="24"/>
      <c r="G130" s="24"/>
      <c r="H130" s="24"/>
      <c r="I130" s="24"/>
      <c r="J130" s="137"/>
      <c r="K130" s="24"/>
      <c r="L130" s="24"/>
      <c r="M130" s="24"/>
      <c r="N130" s="137"/>
      <c r="O130" s="24"/>
      <c r="P130" s="24"/>
      <c r="Q130" s="24"/>
      <c r="R130" s="24"/>
      <c r="S130" s="24"/>
      <c r="T130" s="24"/>
      <c r="U130" s="24"/>
      <c r="V130" s="24"/>
      <c r="W130" s="24"/>
      <c r="X130" s="24"/>
      <c r="Y130" s="54"/>
      <c r="Z130" s="55"/>
      <c r="AA130" s="56"/>
      <c r="AB130" s="56"/>
    </row>
    <row r="131" spans="1:28" s="21" customFormat="1" ht="34.5" customHeight="1">
      <c r="A131" s="24"/>
      <c r="B131" s="24"/>
      <c r="C131" s="24"/>
      <c r="D131" s="24"/>
      <c r="E131" s="24"/>
      <c r="F131" s="24"/>
      <c r="G131" s="24"/>
      <c r="H131" s="24"/>
      <c r="I131" s="24"/>
      <c r="J131" s="137"/>
      <c r="K131" s="24"/>
      <c r="L131" s="24"/>
      <c r="M131" s="24"/>
      <c r="N131" s="137"/>
      <c r="O131" s="24"/>
      <c r="P131" s="24"/>
      <c r="Q131" s="24"/>
      <c r="R131" s="24"/>
      <c r="S131" s="24"/>
      <c r="T131" s="24"/>
      <c r="U131" s="24"/>
      <c r="V131" s="24"/>
      <c r="W131" s="24"/>
      <c r="X131" s="24"/>
      <c r="Y131" s="54"/>
      <c r="Z131" s="55"/>
      <c r="AA131" s="56"/>
      <c r="AB131" s="56"/>
    </row>
    <row r="132" spans="1:28" s="21" customFormat="1" ht="34.5" customHeight="1">
      <c r="A132" s="24"/>
      <c r="B132" s="24"/>
      <c r="C132" s="24"/>
      <c r="D132" s="24"/>
      <c r="E132" s="24"/>
      <c r="F132" s="24"/>
      <c r="G132" s="24"/>
      <c r="H132" s="24"/>
      <c r="I132" s="24"/>
      <c r="J132" s="137"/>
      <c r="K132" s="24"/>
      <c r="L132" s="24"/>
      <c r="M132" s="24"/>
      <c r="N132" s="137"/>
      <c r="O132" s="24"/>
      <c r="P132" s="24"/>
      <c r="Q132" s="24"/>
      <c r="R132" s="24"/>
      <c r="S132" s="24"/>
      <c r="T132" s="24"/>
      <c r="U132" s="24"/>
      <c r="V132" s="24"/>
      <c r="W132" s="24"/>
      <c r="X132" s="24"/>
      <c r="Y132" s="54"/>
      <c r="Z132" s="55"/>
      <c r="AA132" s="56"/>
      <c r="AB132" s="56"/>
    </row>
    <row r="133" spans="1:28" s="21" customFormat="1" ht="34.5" customHeight="1">
      <c r="A133" s="24"/>
      <c r="B133" s="24"/>
      <c r="C133" s="24"/>
      <c r="D133" s="24"/>
      <c r="E133" s="24"/>
      <c r="F133" s="24"/>
      <c r="G133" s="24"/>
      <c r="H133" s="24"/>
      <c r="I133" s="24"/>
      <c r="J133" s="137"/>
      <c r="K133" s="24"/>
      <c r="L133" s="24"/>
      <c r="M133" s="24"/>
      <c r="N133" s="137"/>
      <c r="O133" s="24"/>
      <c r="P133" s="24"/>
      <c r="Q133" s="24"/>
      <c r="R133" s="24"/>
      <c r="S133" s="24"/>
      <c r="T133" s="24"/>
      <c r="U133" s="24"/>
      <c r="V133" s="24"/>
      <c r="W133" s="24"/>
      <c r="X133" s="24"/>
      <c r="Y133" s="54"/>
      <c r="Z133" s="55"/>
      <c r="AA133" s="56"/>
      <c r="AB133" s="56"/>
    </row>
    <row r="134" spans="1:28" s="21" customFormat="1" ht="34.5" customHeight="1">
      <c r="A134" s="24"/>
      <c r="B134" s="24"/>
      <c r="C134" s="24"/>
      <c r="D134" s="24"/>
      <c r="E134" s="24"/>
      <c r="F134" s="24"/>
      <c r="G134" s="24"/>
      <c r="H134" s="24"/>
      <c r="I134" s="24"/>
      <c r="J134" s="137"/>
      <c r="K134" s="24"/>
      <c r="L134" s="24"/>
      <c r="M134" s="24"/>
      <c r="N134" s="137"/>
      <c r="O134" s="24"/>
      <c r="P134" s="24"/>
      <c r="Q134" s="24"/>
      <c r="R134" s="24"/>
      <c r="S134" s="24"/>
      <c r="T134" s="24"/>
      <c r="U134" s="24"/>
      <c r="V134" s="24"/>
      <c r="W134" s="24"/>
      <c r="X134" s="24"/>
      <c r="Y134" s="54"/>
      <c r="Z134" s="55"/>
      <c r="AA134" s="56"/>
      <c r="AB134" s="56"/>
    </row>
    <row r="135" spans="1:28" s="21" customFormat="1" ht="34.5" customHeight="1">
      <c r="A135" s="24"/>
      <c r="B135" s="24"/>
      <c r="C135" s="24"/>
      <c r="D135" s="24"/>
      <c r="E135" s="24"/>
      <c r="F135" s="24"/>
      <c r="G135" s="24"/>
      <c r="H135" s="24"/>
      <c r="I135" s="24"/>
      <c r="J135" s="137"/>
      <c r="K135" s="24"/>
      <c r="L135" s="24"/>
      <c r="M135" s="24"/>
      <c r="N135" s="137"/>
      <c r="O135" s="24"/>
      <c r="P135" s="24"/>
      <c r="Q135" s="24"/>
      <c r="R135" s="24"/>
      <c r="S135" s="24"/>
      <c r="T135" s="24"/>
      <c r="U135" s="24"/>
      <c r="V135" s="24"/>
      <c r="W135" s="24"/>
      <c r="X135" s="24"/>
      <c r="Y135" s="54"/>
      <c r="Z135" s="55"/>
      <c r="AA135" s="56"/>
      <c r="AB135" s="56"/>
    </row>
    <row r="136" spans="1:28" s="21" customFormat="1" ht="34.5" customHeight="1">
      <c r="A136" s="24"/>
      <c r="B136" s="24"/>
      <c r="C136" s="24"/>
      <c r="D136" s="24"/>
      <c r="E136" s="24"/>
      <c r="F136" s="24"/>
      <c r="G136" s="24"/>
      <c r="H136" s="24"/>
      <c r="I136" s="24"/>
      <c r="J136" s="137"/>
      <c r="K136" s="24"/>
      <c r="L136" s="24"/>
      <c r="M136" s="24"/>
      <c r="N136" s="137"/>
      <c r="O136" s="24"/>
      <c r="P136" s="24"/>
      <c r="Q136" s="24"/>
      <c r="R136" s="24"/>
      <c r="S136" s="24"/>
      <c r="T136" s="24"/>
      <c r="U136" s="24"/>
      <c r="V136" s="24"/>
      <c r="W136" s="24"/>
      <c r="X136" s="24"/>
      <c r="Y136" s="54"/>
      <c r="Z136" s="55"/>
      <c r="AA136" s="56"/>
      <c r="AB136" s="56"/>
    </row>
    <row r="137" spans="1:28" s="21" customFormat="1" ht="34.5" customHeight="1">
      <c r="A137" s="24"/>
      <c r="B137" s="24"/>
      <c r="C137" s="24"/>
      <c r="D137" s="24"/>
      <c r="E137" s="24"/>
      <c r="F137" s="24"/>
      <c r="G137" s="24"/>
      <c r="H137" s="24"/>
      <c r="I137" s="24"/>
      <c r="J137" s="137"/>
      <c r="K137" s="24"/>
      <c r="L137" s="24"/>
      <c r="M137" s="24"/>
      <c r="N137" s="137"/>
      <c r="O137" s="24"/>
      <c r="P137" s="24"/>
      <c r="Q137" s="24"/>
      <c r="R137" s="24"/>
      <c r="S137" s="24"/>
      <c r="T137" s="24"/>
      <c r="U137" s="24"/>
      <c r="V137" s="24"/>
      <c r="W137" s="24"/>
      <c r="X137" s="24"/>
      <c r="Y137" s="54"/>
      <c r="Z137" s="55"/>
      <c r="AA137" s="56"/>
      <c r="AB137" s="56"/>
    </row>
    <row r="138" spans="1:28" s="21" customFormat="1" ht="34.5" customHeight="1">
      <c r="A138" s="24"/>
      <c r="B138" s="24"/>
      <c r="C138" s="24"/>
      <c r="D138" s="24"/>
      <c r="E138" s="24"/>
      <c r="F138" s="24"/>
      <c r="G138" s="24"/>
      <c r="H138" s="24"/>
      <c r="I138" s="24"/>
      <c r="J138" s="137"/>
      <c r="K138" s="24"/>
      <c r="L138" s="24"/>
      <c r="M138" s="24"/>
      <c r="N138" s="137"/>
      <c r="O138" s="24"/>
      <c r="P138" s="24"/>
      <c r="Q138" s="24"/>
      <c r="R138" s="24"/>
      <c r="S138" s="24"/>
      <c r="T138" s="24"/>
      <c r="U138" s="24"/>
      <c r="V138" s="24"/>
      <c r="W138" s="24"/>
      <c r="X138" s="24"/>
      <c r="Y138" s="54"/>
      <c r="Z138" s="55"/>
      <c r="AA138" s="56"/>
      <c r="AB138" s="56"/>
    </row>
    <row r="139" spans="1:28" s="21" customFormat="1" ht="34.5" customHeight="1">
      <c r="A139" s="24"/>
      <c r="B139" s="24"/>
      <c r="C139" s="24"/>
      <c r="D139" s="24"/>
      <c r="E139" s="24"/>
      <c r="F139" s="24"/>
      <c r="G139" s="24"/>
      <c r="H139" s="24"/>
      <c r="I139" s="24"/>
      <c r="J139" s="137"/>
      <c r="K139" s="24"/>
      <c r="L139" s="24"/>
      <c r="M139" s="24"/>
      <c r="N139" s="137"/>
      <c r="O139" s="24"/>
      <c r="P139" s="24"/>
      <c r="Q139" s="24"/>
      <c r="R139" s="24"/>
      <c r="S139" s="24"/>
      <c r="T139" s="24"/>
      <c r="U139" s="24"/>
      <c r="V139" s="24"/>
      <c r="W139" s="24"/>
      <c r="X139" s="24"/>
      <c r="Y139" s="54"/>
      <c r="Z139" s="55"/>
      <c r="AA139" s="56"/>
      <c r="AB139" s="56"/>
    </row>
    <row r="140" spans="1:28" s="21" customFormat="1" ht="34.5" customHeight="1">
      <c r="A140" s="24"/>
      <c r="B140" s="24"/>
      <c r="C140" s="24"/>
      <c r="D140" s="24"/>
      <c r="E140" s="24"/>
      <c r="F140" s="24"/>
      <c r="G140" s="24"/>
      <c r="H140" s="24"/>
      <c r="I140" s="24"/>
      <c r="J140" s="137"/>
      <c r="K140" s="24"/>
      <c r="L140" s="24"/>
      <c r="M140" s="24"/>
      <c r="N140" s="137"/>
      <c r="O140" s="24"/>
      <c r="P140" s="24"/>
      <c r="Q140" s="24"/>
      <c r="R140" s="24"/>
      <c r="S140" s="24"/>
      <c r="T140" s="24"/>
      <c r="U140" s="24"/>
      <c r="V140" s="24"/>
      <c r="W140" s="24"/>
      <c r="X140" s="24"/>
      <c r="Y140" s="54"/>
      <c r="Z140" s="55"/>
      <c r="AA140" s="56"/>
      <c r="AB140" s="56"/>
    </row>
    <row r="141" spans="1:28" s="21" customFormat="1" ht="34.5" customHeight="1">
      <c r="A141" s="24"/>
      <c r="B141" s="24"/>
      <c r="C141" s="24"/>
      <c r="D141" s="24"/>
      <c r="E141" s="24"/>
      <c r="F141" s="24"/>
      <c r="G141" s="24"/>
      <c r="H141" s="24"/>
      <c r="I141" s="24"/>
      <c r="J141" s="137"/>
      <c r="K141" s="24"/>
      <c r="L141" s="24"/>
      <c r="M141" s="24"/>
      <c r="N141" s="137"/>
      <c r="O141" s="24"/>
      <c r="P141" s="24"/>
      <c r="Q141" s="24"/>
      <c r="R141" s="24"/>
      <c r="S141" s="24"/>
      <c r="T141" s="24"/>
      <c r="U141" s="24"/>
      <c r="V141" s="24"/>
      <c r="W141" s="24"/>
      <c r="X141" s="24"/>
      <c r="Y141" s="54"/>
      <c r="Z141" s="55"/>
      <c r="AA141" s="56"/>
      <c r="AB141" s="56"/>
    </row>
    <row r="142" spans="1:28" s="21" customFormat="1" ht="34.5" customHeight="1">
      <c r="A142" s="24"/>
      <c r="B142" s="24"/>
      <c r="C142" s="24"/>
      <c r="D142" s="24"/>
      <c r="E142" s="24"/>
      <c r="F142" s="24"/>
      <c r="G142" s="24"/>
      <c r="H142" s="24"/>
      <c r="I142" s="24"/>
      <c r="J142" s="137"/>
      <c r="K142" s="24"/>
      <c r="L142" s="24"/>
      <c r="M142" s="24"/>
      <c r="N142" s="137"/>
      <c r="O142" s="24"/>
      <c r="P142" s="24"/>
      <c r="Q142" s="24"/>
      <c r="R142" s="24"/>
      <c r="S142" s="24"/>
      <c r="T142" s="24"/>
      <c r="U142" s="24"/>
      <c r="V142" s="24"/>
      <c r="W142" s="24"/>
      <c r="X142" s="24"/>
      <c r="Y142" s="54"/>
      <c r="Z142" s="55"/>
      <c r="AA142" s="56"/>
      <c r="AB142" s="56"/>
    </row>
    <row r="143" spans="1:28" s="21" customFormat="1" ht="34.5" customHeight="1">
      <c r="A143" s="24"/>
      <c r="B143" s="24"/>
      <c r="C143" s="24"/>
      <c r="D143" s="24"/>
      <c r="E143" s="24"/>
      <c r="F143" s="24"/>
      <c r="G143" s="24"/>
      <c r="H143" s="24"/>
      <c r="I143" s="24"/>
      <c r="J143" s="137"/>
      <c r="K143" s="24"/>
      <c r="L143" s="24"/>
      <c r="M143" s="24"/>
      <c r="N143" s="137"/>
      <c r="O143" s="24"/>
      <c r="P143" s="24"/>
      <c r="Q143" s="24"/>
      <c r="R143" s="24"/>
      <c r="S143" s="24"/>
      <c r="T143" s="24"/>
      <c r="U143" s="24"/>
      <c r="V143" s="24"/>
      <c r="W143" s="24"/>
      <c r="X143" s="24"/>
      <c r="Y143" s="54"/>
      <c r="Z143" s="55"/>
      <c r="AA143" s="56"/>
      <c r="AB143" s="56"/>
    </row>
    <row r="144" spans="1:28" s="21" customFormat="1" ht="34.5" customHeight="1">
      <c r="A144" s="24"/>
      <c r="B144" s="24"/>
      <c r="C144" s="24"/>
      <c r="D144" s="24"/>
      <c r="E144" s="24"/>
      <c r="F144" s="24"/>
      <c r="G144" s="24"/>
      <c r="H144" s="24"/>
      <c r="I144" s="24"/>
      <c r="J144" s="137"/>
      <c r="K144" s="24"/>
      <c r="L144" s="24"/>
      <c r="M144" s="24"/>
      <c r="N144" s="137"/>
      <c r="O144" s="24"/>
      <c r="P144" s="24"/>
      <c r="Q144" s="24"/>
      <c r="R144" s="24"/>
      <c r="S144" s="24"/>
      <c r="T144" s="24"/>
      <c r="U144" s="24"/>
      <c r="V144" s="24"/>
      <c r="W144" s="24"/>
      <c r="X144" s="24"/>
      <c r="Y144" s="54"/>
      <c r="Z144" s="55"/>
      <c r="AA144" s="56"/>
      <c r="AB144" s="56"/>
    </row>
    <row r="145" spans="1:28" s="21" customFormat="1" ht="34.5" customHeight="1">
      <c r="A145" s="24"/>
      <c r="B145" s="24"/>
      <c r="C145" s="24"/>
      <c r="D145" s="24"/>
      <c r="E145" s="24"/>
      <c r="F145" s="24"/>
      <c r="G145" s="24"/>
      <c r="H145" s="24"/>
      <c r="I145" s="24"/>
      <c r="J145" s="137"/>
      <c r="K145" s="24"/>
      <c r="L145" s="24"/>
      <c r="M145" s="24"/>
      <c r="N145" s="137"/>
      <c r="O145" s="24"/>
      <c r="P145" s="24"/>
      <c r="Q145" s="24"/>
      <c r="R145" s="24"/>
      <c r="S145" s="24"/>
      <c r="T145" s="24"/>
      <c r="U145" s="24"/>
      <c r="V145" s="24"/>
      <c r="W145" s="24"/>
      <c r="X145" s="24"/>
      <c r="Y145" s="54"/>
      <c r="Z145" s="55"/>
      <c r="AA145" s="56"/>
      <c r="AB145" s="56"/>
    </row>
    <row r="146" spans="1:28" s="21" customFormat="1" ht="34.5" customHeight="1">
      <c r="A146" s="24"/>
      <c r="B146" s="24"/>
      <c r="C146" s="24"/>
      <c r="D146" s="24"/>
      <c r="E146" s="24"/>
      <c r="F146" s="24"/>
      <c r="G146" s="24"/>
      <c r="H146" s="24"/>
      <c r="I146" s="24"/>
      <c r="J146" s="137"/>
      <c r="K146" s="24"/>
      <c r="L146" s="24"/>
      <c r="M146" s="24"/>
      <c r="N146" s="137"/>
      <c r="O146" s="24"/>
      <c r="P146" s="24"/>
      <c r="Q146" s="24"/>
      <c r="R146" s="24"/>
      <c r="S146" s="24"/>
      <c r="T146" s="24"/>
      <c r="U146" s="24"/>
      <c r="V146" s="24"/>
      <c r="W146" s="24"/>
      <c r="X146" s="24"/>
      <c r="Y146" s="54"/>
      <c r="Z146" s="55"/>
      <c r="AA146" s="56"/>
      <c r="AB146" s="56"/>
    </row>
    <row r="147" spans="1:28" s="21" customFormat="1" ht="34.5" customHeight="1">
      <c r="A147" s="24"/>
      <c r="B147" s="24"/>
      <c r="C147" s="24"/>
      <c r="D147" s="24"/>
      <c r="E147" s="24"/>
      <c r="F147" s="24"/>
      <c r="G147" s="24"/>
      <c r="H147" s="24"/>
      <c r="I147" s="24"/>
      <c r="J147" s="137"/>
      <c r="K147" s="24"/>
      <c r="L147" s="24"/>
      <c r="M147" s="24"/>
      <c r="N147" s="137"/>
      <c r="O147" s="24"/>
      <c r="P147" s="24"/>
      <c r="Q147" s="24"/>
      <c r="R147" s="24"/>
      <c r="S147" s="24"/>
      <c r="T147" s="24"/>
      <c r="U147" s="24"/>
      <c r="V147" s="24"/>
      <c r="W147" s="24"/>
      <c r="X147" s="24"/>
      <c r="Y147" s="54"/>
      <c r="Z147" s="55"/>
      <c r="AA147" s="56"/>
      <c r="AB147" s="56"/>
    </row>
    <row r="148" spans="1:28" s="21" customFormat="1" ht="34.5" customHeight="1">
      <c r="A148" s="24"/>
      <c r="B148" s="24"/>
      <c r="C148" s="24"/>
      <c r="D148" s="24"/>
      <c r="E148" s="24"/>
      <c r="F148" s="24"/>
      <c r="G148" s="24"/>
      <c r="H148" s="24"/>
      <c r="I148" s="24"/>
      <c r="J148" s="137"/>
      <c r="K148" s="24"/>
      <c r="L148" s="24"/>
      <c r="M148" s="24"/>
      <c r="N148" s="137"/>
      <c r="O148" s="24"/>
      <c r="P148" s="24"/>
      <c r="Q148" s="24"/>
      <c r="R148" s="24"/>
      <c r="S148" s="24"/>
      <c r="T148" s="24"/>
      <c r="U148" s="24"/>
      <c r="V148" s="24"/>
      <c r="W148" s="24"/>
      <c r="X148" s="24"/>
      <c r="Y148" s="54"/>
      <c r="Z148" s="55"/>
      <c r="AA148" s="56"/>
      <c r="AB148" s="56"/>
    </row>
    <row r="149" spans="1:28" s="21" customFormat="1" ht="34.5" customHeight="1">
      <c r="A149" s="24"/>
      <c r="B149" s="24"/>
      <c r="C149" s="24"/>
      <c r="D149" s="24"/>
      <c r="E149" s="24"/>
      <c r="F149" s="24"/>
      <c r="G149" s="24"/>
      <c r="H149" s="24"/>
      <c r="I149" s="24"/>
      <c r="J149" s="137"/>
      <c r="K149" s="24"/>
      <c r="L149" s="24"/>
      <c r="M149" s="24"/>
      <c r="N149" s="137"/>
      <c r="O149" s="24"/>
      <c r="P149" s="24"/>
      <c r="Q149" s="24"/>
      <c r="R149" s="24"/>
      <c r="S149" s="24"/>
      <c r="T149" s="24"/>
      <c r="U149" s="24"/>
      <c r="V149" s="24"/>
      <c r="W149" s="24"/>
      <c r="X149" s="24"/>
      <c r="Y149" s="54"/>
      <c r="Z149" s="55"/>
      <c r="AA149" s="56"/>
      <c r="AB149" s="56"/>
    </row>
    <row r="150" spans="1:28" s="21" customFormat="1" ht="34.5" customHeight="1">
      <c r="A150" s="24"/>
      <c r="B150" s="24"/>
      <c r="C150" s="24"/>
      <c r="D150" s="24"/>
      <c r="E150" s="24"/>
      <c r="F150" s="24"/>
      <c r="G150" s="24"/>
      <c r="H150" s="24"/>
      <c r="I150" s="24"/>
      <c r="J150" s="137"/>
      <c r="K150" s="24"/>
      <c r="L150" s="24"/>
      <c r="M150" s="24"/>
      <c r="N150" s="137"/>
      <c r="O150" s="24"/>
      <c r="P150" s="24"/>
      <c r="Q150" s="24"/>
      <c r="R150" s="24"/>
      <c r="S150" s="24"/>
      <c r="T150" s="24"/>
      <c r="U150" s="24"/>
      <c r="V150" s="24"/>
      <c r="W150" s="24"/>
      <c r="X150" s="24"/>
      <c r="Y150" s="54"/>
      <c r="Z150" s="55"/>
      <c r="AA150" s="56"/>
      <c r="AB150" s="56"/>
    </row>
    <row r="151" spans="1:28" s="21" customFormat="1" ht="34.5" customHeight="1">
      <c r="A151" s="24"/>
      <c r="B151" s="24"/>
      <c r="C151" s="24"/>
      <c r="D151" s="24"/>
      <c r="E151" s="24"/>
      <c r="F151" s="24"/>
      <c r="G151" s="24"/>
      <c r="H151" s="24"/>
      <c r="I151" s="24"/>
      <c r="J151" s="137"/>
      <c r="K151" s="24"/>
      <c r="L151" s="24"/>
      <c r="M151" s="24"/>
      <c r="N151" s="137"/>
      <c r="O151" s="24"/>
      <c r="P151" s="24"/>
      <c r="Q151" s="24"/>
      <c r="R151" s="24"/>
      <c r="S151" s="24"/>
      <c r="T151" s="24"/>
      <c r="U151" s="24"/>
      <c r="V151" s="24"/>
      <c r="W151" s="24"/>
      <c r="X151" s="24"/>
      <c r="Y151" s="54"/>
      <c r="Z151" s="55"/>
      <c r="AA151" s="56"/>
      <c r="AB151" s="56"/>
    </row>
    <row r="152" spans="1:28" s="21" customFormat="1" ht="34.5" customHeight="1">
      <c r="A152" s="24"/>
      <c r="B152" s="24"/>
      <c r="C152" s="24"/>
      <c r="D152" s="24"/>
      <c r="E152" s="24"/>
      <c r="F152" s="24"/>
      <c r="G152" s="24"/>
      <c r="H152" s="24"/>
      <c r="I152" s="24"/>
      <c r="J152" s="137"/>
      <c r="K152" s="24"/>
      <c r="L152" s="24"/>
      <c r="M152" s="24"/>
      <c r="N152" s="137"/>
      <c r="O152" s="24"/>
      <c r="P152" s="24"/>
      <c r="Q152" s="24"/>
      <c r="R152" s="24"/>
      <c r="S152" s="24"/>
      <c r="T152" s="24"/>
      <c r="U152" s="24"/>
      <c r="V152" s="24"/>
      <c r="W152" s="24"/>
      <c r="X152" s="24"/>
      <c r="Y152" s="54"/>
      <c r="Z152" s="55"/>
      <c r="AA152" s="56"/>
      <c r="AB152" s="56"/>
    </row>
    <row r="153" spans="1:28" s="21" customFormat="1" ht="34.5" customHeight="1">
      <c r="A153" s="24"/>
      <c r="B153" s="24"/>
      <c r="C153" s="24"/>
      <c r="D153" s="24"/>
      <c r="E153" s="24"/>
      <c r="F153" s="24"/>
      <c r="G153" s="24"/>
      <c r="H153" s="24"/>
      <c r="I153" s="24"/>
      <c r="J153" s="137"/>
      <c r="K153" s="24"/>
      <c r="L153" s="24"/>
      <c r="M153" s="24"/>
      <c r="N153" s="137"/>
      <c r="O153" s="24"/>
      <c r="P153" s="24"/>
      <c r="Q153" s="24"/>
      <c r="R153" s="24"/>
      <c r="S153" s="24"/>
      <c r="T153" s="24"/>
      <c r="U153" s="24"/>
      <c r="V153" s="24"/>
      <c r="W153" s="24"/>
      <c r="X153" s="24"/>
      <c r="Y153" s="54"/>
      <c r="Z153" s="55"/>
      <c r="AA153" s="56"/>
      <c r="AB153" s="56"/>
    </row>
    <row r="154" spans="1:28" s="21" customFormat="1" ht="34.5" customHeight="1">
      <c r="A154" s="24"/>
      <c r="B154" s="24"/>
      <c r="C154" s="24"/>
      <c r="D154" s="24"/>
      <c r="E154" s="24"/>
      <c r="F154" s="24"/>
      <c r="G154" s="24"/>
      <c r="H154" s="24"/>
      <c r="I154" s="24"/>
      <c r="J154" s="137"/>
      <c r="K154" s="24"/>
      <c r="L154" s="24"/>
      <c r="M154" s="24"/>
      <c r="N154" s="137"/>
      <c r="O154" s="24"/>
      <c r="P154" s="24"/>
      <c r="Q154" s="24"/>
      <c r="R154" s="24"/>
      <c r="S154" s="24"/>
      <c r="T154" s="24"/>
      <c r="U154" s="24"/>
      <c r="V154" s="24"/>
      <c r="W154" s="24"/>
      <c r="X154" s="24"/>
      <c r="Y154" s="54"/>
      <c r="Z154" s="55"/>
      <c r="AA154" s="56"/>
      <c r="AB154" s="56"/>
    </row>
    <row r="155" spans="1:28" s="21" customFormat="1" ht="34.5" customHeight="1">
      <c r="A155" s="24"/>
      <c r="B155" s="24"/>
      <c r="C155" s="24"/>
      <c r="D155" s="24"/>
      <c r="E155" s="24"/>
      <c r="F155" s="24"/>
      <c r="G155" s="24"/>
      <c r="H155" s="24"/>
      <c r="I155" s="24"/>
      <c r="J155" s="137"/>
      <c r="K155" s="24"/>
      <c r="L155" s="24"/>
      <c r="M155" s="24"/>
      <c r="N155" s="137"/>
      <c r="O155" s="24"/>
      <c r="P155" s="24"/>
      <c r="Q155" s="24"/>
      <c r="R155" s="24"/>
      <c r="S155" s="24"/>
      <c r="T155" s="24"/>
      <c r="U155" s="24"/>
      <c r="V155" s="24"/>
      <c r="W155" s="24"/>
      <c r="X155" s="24"/>
      <c r="Y155" s="54"/>
      <c r="Z155" s="55"/>
      <c r="AA155" s="56"/>
      <c r="AB155" s="56"/>
    </row>
    <row r="156" spans="1:28" s="21" customFormat="1" ht="34.5" customHeight="1">
      <c r="A156" s="24"/>
      <c r="B156" s="24"/>
      <c r="C156" s="24"/>
      <c r="D156" s="24"/>
      <c r="E156" s="24"/>
      <c r="F156" s="24"/>
      <c r="G156" s="24"/>
      <c r="H156" s="24"/>
      <c r="I156" s="24"/>
      <c r="J156" s="137"/>
      <c r="K156" s="24"/>
      <c r="L156" s="24"/>
      <c r="M156" s="24"/>
      <c r="N156" s="137"/>
      <c r="O156" s="24"/>
      <c r="P156" s="24"/>
      <c r="Q156" s="24"/>
      <c r="R156" s="24"/>
      <c r="S156" s="24"/>
      <c r="T156" s="24"/>
      <c r="U156" s="24"/>
      <c r="V156" s="24"/>
      <c r="W156" s="24"/>
      <c r="X156" s="24"/>
      <c r="Y156" s="54"/>
      <c r="Z156" s="55"/>
      <c r="AA156" s="56"/>
      <c r="AB156" s="56"/>
    </row>
    <row r="157" spans="1:28" s="21" customFormat="1" ht="34.5" customHeight="1">
      <c r="A157" s="24"/>
      <c r="B157" s="24"/>
      <c r="C157" s="24"/>
      <c r="D157" s="24"/>
      <c r="E157" s="24"/>
      <c r="F157" s="24"/>
      <c r="G157" s="24"/>
      <c r="H157" s="24"/>
      <c r="I157" s="24"/>
      <c r="J157" s="137"/>
      <c r="K157" s="24"/>
      <c r="L157" s="24"/>
      <c r="M157" s="24"/>
      <c r="N157" s="137"/>
      <c r="O157" s="24"/>
      <c r="P157" s="24"/>
      <c r="Q157" s="24"/>
      <c r="R157" s="24"/>
      <c r="S157" s="24"/>
      <c r="T157" s="24"/>
      <c r="U157" s="24"/>
      <c r="V157" s="24"/>
      <c r="W157" s="24"/>
      <c r="X157" s="24"/>
      <c r="Y157" s="54"/>
      <c r="Z157" s="55"/>
      <c r="AA157" s="56"/>
      <c r="AB157" s="56"/>
    </row>
    <row r="158" spans="1:28" s="21" customFormat="1" ht="34.5" customHeight="1">
      <c r="A158" s="24"/>
      <c r="B158" s="24"/>
      <c r="C158" s="24"/>
      <c r="D158" s="24"/>
      <c r="E158" s="24"/>
      <c r="F158" s="24"/>
      <c r="G158" s="24"/>
      <c r="H158" s="24"/>
      <c r="I158" s="24"/>
      <c r="J158" s="137"/>
      <c r="K158" s="24"/>
      <c r="L158" s="24"/>
      <c r="M158" s="24"/>
      <c r="N158" s="137"/>
      <c r="O158" s="24"/>
      <c r="P158" s="24"/>
      <c r="Q158" s="24"/>
      <c r="R158" s="24"/>
      <c r="S158" s="24"/>
      <c r="T158" s="24"/>
      <c r="U158" s="24"/>
      <c r="V158" s="24"/>
      <c r="W158" s="24"/>
      <c r="X158" s="24"/>
      <c r="Y158" s="54"/>
      <c r="Z158" s="55"/>
      <c r="AA158" s="56"/>
      <c r="AB158" s="56"/>
    </row>
    <row r="159" spans="1:28" s="21" customFormat="1" ht="34.5" customHeight="1">
      <c r="A159" s="24"/>
      <c r="B159" s="24"/>
      <c r="C159" s="24"/>
      <c r="D159" s="24"/>
      <c r="E159" s="24"/>
      <c r="F159" s="24"/>
      <c r="G159" s="24"/>
      <c r="H159" s="24"/>
      <c r="I159" s="24"/>
      <c r="J159" s="137"/>
      <c r="K159" s="24"/>
      <c r="L159" s="24"/>
      <c r="M159" s="24"/>
      <c r="N159" s="137"/>
      <c r="O159" s="24"/>
      <c r="P159" s="24"/>
      <c r="Q159" s="24"/>
      <c r="R159" s="24"/>
      <c r="S159" s="24"/>
      <c r="T159" s="24"/>
      <c r="U159" s="24"/>
      <c r="V159" s="24"/>
      <c r="W159" s="24"/>
      <c r="X159" s="24"/>
      <c r="Y159" s="54"/>
      <c r="Z159" s="55"/>
      <c r="AA159" s="56"/>
      <c r="AB159" s="56"/>
    </row>
    <row r="160" spans="1:28" s="21" customFormat="1" ht="34.5" customHeight="1">
      <c r="A160" s="24"/>
      <c r="B160" s="24"/>
      <c r="C160" s="24"/>
      <c r="D160" s="24"/>
      <c r="E160" s="24"/>
      <c r="F160" s="24"/>
      <c r="G160" s="24"/>
      <c r="H160" s="24"/>
      <c r="I160" s="24"/>
      <c r="J160" s="137"/>
      <c r="K160" s="24"/>
      <c r="L160" s="24"/>
      <c r="M160" s="24"/>
      <c r="N160" s="137"/>
      <c r="O160" s="24"/>
      <c r="P160" s="24"/>
      <c r="Q160" s="24"/>
      <c r="R160" s="24"/>
      <c r="S160" s="24"/>
      <c r="T160" s="24"/>
      <c r="U160" s="24"/>
      <c r="V160" s="24"/>
      <c r="W160" s="24"/>
      <c r="X160" s="24"/>
      <c r="Y160" s="54"/>
      <c r="Z160" s="55"/>
      <c r="AA160" s="56"/>
      <c r="AB160" s="56"/>
    </row>
    <row r="161" spans="1:28" s="21" customFormat="1" ht="34.5" customHeight="1">
      <c r="A161" s="24"/>
      <c r="B161" s="24"/>
      <c r="C161" s="24"/>
      <c r="D161" s="24"/>
      <c r="E161" s="24"/>
      <c r="F161" s="24"/>
      <c r="G161" s="24"/>
      <c r="H161" s="24"/>
      <c r="I161" s="24"/>
      <c r="J161" s="137"/>
      <c r="K161" s="24"/>
      <c r="L161" s="24"/>
      <c r="M161" s="24"/>
      <c r="N161" s="137"/>
      <c r="O161" s="24"/>
      <c r="P161" s="24"/>
      <c r="Q161" s="24"/>
      <c r="R161" s="24"/>
      <c r="S161" s="24"/>
      <c r="T161" s="24"/>
      <c r="U161" s="24"/>
      <c r="V161" s="24"/>
      <c r="W161" s="24"/>
      <c r="X161" s="24"/>
      <c r="Y161" s="54"/>
      <c r="Z161" s="55"/>
      <c r="AA161" s="56"/>
      <c r="AB161" s="56"/>
    </row>
    <row r="162" spans="1:28" s="21" customFormat="1" ht="34.5" customHeight="1">
      <c r="A162" s="24"/>
      <c r="B162" s="24"/>
      <c r="C162" s="24"/>
      <c r="D162" s="24"/>
      <c r="E162" s="24"/>
      <c r="F162" s="24"/>
      <c r="G162" s="24"/>
      <c r="H162" s="24"/>
      <c r="I162" s="24"/>
      <c r="J162" s="137"/>
      <c r="K162" s="24"/>
      <c r="L162" s="24"/>
      <c r="M162" s="24"/>
      <c r="N162" s="137"/>
      <c r="O162" s="24"/>
      <c r="P162" s="24"/>
      <c r="Q162" s="24"/>
      <c r="R162" s="24"/>
      <c r="S162" s="24"/>
      <c r="T162" s="24"/>
      <c r="U162" s="24"/>
      <c r="V162" s="24"/>
      <c r="W162" s="24"/>
      <c r="X162" s="24"/>
      <c r="Y162" s="54"/>
      <c r="Z162" s="55"/>
      <c r="AA162" s="56"/>
      <c r="AB162" s="56"/>
    </row>
    <row r="163" spans="1:28" s="21" customFormat="1" ht="34.5" customHeight="1">
      <c r="A163" s="24"/>
      <c r="B163" s="24"/>
      <c r="C163" s="24"/>
      <c r="D163" s="24"/>
      <c r="E163" s="24"/>
      <c r="F163" s="24"/>
      <c r="G163" s="24"/>
      <c r="H163" s="24"/>
      <c r="I163" s="24"/>
      <c r="J163" s="137"/>
      <c r="K163" s="24"/>
      <c r="L163" s="24"/>
      <c r="M163" s="24"/>
      <c r="N163" s="137"/>
      <c r="O163" s="24"/>
      <c r="P163" s="24"/>
      <c r="Q163" s="24"/>
      <c r="R163" s="24"/>
      <c r="S163" s="24"/>
      <c r="T163" s="24"/>
      <c r="U163" s="24"/>
      <c r="V163" s="24"/>
      <c r="W163" s="24"/>
      <c r="X163" s="24"/>
      <c r="Y163" s="54"/>
      <c r="Z163" s="55"/>
      <c r="AA163" s="56"/>
      <c r="AB163" s="56"/>
    </row>
    <row r="164" spans="1:28" s="21" customFormat="1" ht="34.5" customHeight="1">
      <c r="A164" s="24"/>
      <c r="B164" s="24"/>
      <c r="C164" s="24"/>
      <c r="D164" s="24"/>
      <c r="E164" s="24"/>
      <c r="F164" s="24"/>
      <c r="G164" s="24"/>
      <c r="H164" s="24"/>
      <c r="I164" s="24"/>
      <c r="J164" s="137"/>
      <c r="K164" s="24"/>
      <c r="L164" s="24"/>
      <c r="M164" s="24"/>
      <c r="N164" s="137"/>
      <c r="O164" s="24"/>
      <c r="P164" s="24"/>
      <c r="Q164" s="24"/>
      <c r="R164" s="24"/>
      <c r="S164" s="24"/>
      <c r="T164" s="24"/>
      <c r="U164" s="24"/>
      <c r="V164" s="24"/>
      <c r="W164" s="24"/>
      <c r="X164" s="24"/>
      <c r="Y164" s="54"/>
      <c r="Z164" s="55"/>
      <c r="AA164" s="56"/>
      <c r="AB164" s="56"/>
    </row>
    <row r="165" spans="1:28" s="21" customFormat="1" ht="34.5" customHeight="1">
      <c r="A165" s="24"/>
      <c r="B165" s="24"/>
      <c r="C165" s="24"/>
      <c r="D165" s="24"/>
      <c r="E165" s="24"/>
      <c r="F165" s="24"/>
      <c r="G165" s="24"/>
      <c r="H165" s="24"/>
      <c r="I165" s="24"/>
      <c r="J165" s="137"/>
      <c r="K165" s="24"/>
      <c r="L165" s="24"/>
      <c r="M165" s="24"/>
      <c r="N165" s="137"/>
      <c r="O165" s="24"/>
      <c r="P165" s="24"/>
      <c r="Q165" s="24"/>
      <c r="R165" s="24"/>
      <c r="S165" s="24"/>
      <c r="T165" s="24"/>
      <c r="U165" s="24"/>
      <c r="V165" s="24"/>
      <c r="W165" s="24"/>
      <c r="X165" s="24"/>
      <c r="Y165" s="54"/>
      <c r="Z165" s="55"/>
      <c r="AA165" s="56"/>
      <c r="AB165" s="56"/>
    </row>
    <row r="166" spans="1:28" s="21" customFormat="1" ht="34.5" customHeight="1">
      <c r="A166" s="24"/>
      <c r="B166" s="24"/>
      <c r="C166" s="24"/>
      <c r="D166" s="24"/>
      <c r="E166" s="24"/>
      <c r="F166" s="24"/>
      <c r="G166" s="24"/>
      <c r="H166" s="24"/>
      <c r="I166" s="24"/>
      <c r="J166" s="137"/>
      <c r="K166" s="24"/>
      <c r="L166" s="24"/>
      <c r="M166" s="24"/>
      <c r="N166" s="137"/>
      <c r="O166" s="24"/>
      <c r="P166" s="24"/>
      <c r="Q166" s="24"/>
      <c r="R166" s="24"/>
      <c r="S166" s="24"/>
      <c r="T166" s="24"/>
      <c r="U166" s="24"/>
      <c r="V166" s="24"/>
      <c r="W166" s="24"/>
      <c r="X166" s="24"/>
      <c r="Y166" s="54"/>
      <c r="Z166" s="55"/>
      <c r="AA166" s="56"/>
      <c r="AB166" s="56"/>
    </row>
    <row r="167" spans="1:28" s="21" customFormat="1" ht="34.5" customHeight="1">
      <c r="A167" s="24"/>
      <c r="B167" s="24"/>
      <c r="C167" s="24"/>
      <c r="D167" s="24"/>
      <c r="E167" s="24"/>
      <c r="F167" s="24"/>
      <c r="G167" s="24"/>
      <c r="H167" s="24"/>
      <c r="I167" s="24"/>
      <c r="J167" s="137"/>
      <c r="K167" s="24"/>
      <c r="L167" s="24"/>
      <c r="M167" s="24"/>
      <c r="N167" s="137"/>
      <c r="O167" s="24"/>
      <c r="P167" s="24"/>
      <c r="Q167" s="24"/>
      <c r="R167" s="24"/>
      <c r="S167" s="24"/>
      <c r="T167" s="24"/>
      <c r="U167" s="24"/>
      <c r="V167" s="24"/>
      <c r="W167" s="24"/>
      <c r="X167" s="24"/>
      <c r="Y167" s="54"/>
      <c r="Z167" s="55"/>
      <c r="AA167" s="56"/>
      <c r="AB167" s="56"/>
    </row>
    <row r="168" spans="1:28" s="21" customFormat="1" ht="34.5" customHeight="1">
      <c r="A168" s="24"/>
      <c r="B168" s="24"/>
      <c r="C168" s="24"/>
      <c r="D168" s="24"/>
      <c r="E168" s="24"/>
      <c r="F168" s="24"/>
      <c r="G168" s="24"/>
      <c r="H168" s="24"/>
      <c r="I168" s="24"/>
      <c r="J168" s="137"/>
      <c r="K168" s="24"/>
      <c r="L168" s="24"/>
      <c r="M168" s="24"/>
      <c r="N168" s="137"/>
      <c r="O168" s="24"/>
      <c r="P168" s="24"/>
      <c r="Q168" s="24"/>
      <c r="R168" s="24"/>
      <c r="S168" s="24"/>
      <c r="T168" s="24"/>
      <c r="U168" s="24"/>
      <c r="V168" s="24"/>
      <c r="W168" s="24"/>
      <c r="X168" s="24"/>
      <c r="Y168" s="54"/>
      <c r="Z168" s="55"/>
      <c r="AA168" s="56"/>
      <c r="AB168" s="56"/>
    </row>
    <row r="169" spans="1:28" s="21" customFormat="1" ht="34.5" customHeight="1">
      <c r="A169" s="24"/>
      <c r="B169" s="24"/>
      <c r="C169" s="24"/>
      <c r="D169" s="24"/>
      <c r="E169" s="24"/>
      <c r="F169" s="24"/>
      <c r="G169" s="24"/>
      <c r="H169" s="24"/>
      <c r="I169" s="24"/>
      <c r="J169" s="137"/>
      <c r="K169" s="24"/>
      <c r="L169" s="24"/>
      <c r="M169" s="24"/>
      <c r="N169" s="137"/>
      <c r="O169" s="24"/>
      <c r="P169" s="24"/>
      <c r="Q169" s="24"/>
      <c r="R169" s="24"/>
      <c r="S169" s="24"/>
      <c r="T169" s="24"/>
      <c r="U169" s="24"/>
      <c r="V169" s="24"/>
      <c r="W169" s="24"/>
      <c r="X169" s="24"/>
      <c r="Y169" s="54"/>
      <c r="Z169" s="55"/>
      <c r="AA169" s="56"/>
      <c r="AB169" s="56"/>
    </row>
    <row r="170" spans="1:28" s="21" customFormat="1" ht="34.5" customHeight="1">
      <c r="A170" s="24"/>
      <c r="B170" s="24"/>
      <c r="C170" s="24"/>
      <c r="D170" s="24"/>
      <c r="E170" s="24"/>
      <c r="F170" s="24"/>
      <c r="G170" s="24"/>
      <c r="H170" s="24"/>
      <c r="I170" s="24"/>
      <c r="J170" s="137"/>
      <c r="K170" s="24"/>
      <c r="L170" s="24"/>
      <c r="M170" s="24"/>
      <c r="N170" s="137"/>
      <c r="O170" s="24"/>
      <c r="P170" s="24"/>
      <c r="Q170" s="24"/>
      <c r="R170" s="24"/>
      <c r="S170" s="24"/>
      <c r="T170" s="24"/>
      <c r="U170" s="24"/>
      <c r="V170" s="24"/>
      <c r="W170" s="24"/>
      <c r="X170" s="24"/>
      <c r="Y170" s="54"/>
      <c r="Z170" s="55"/>
      <c r="AA170" s="56"/>
      <c r="AB170" s="56"/>
    </row>
    <row r="171" spans="1:28" s="21" customFormat="1" ht="34.5" customHeight="1">
      <c r="A171" s="24"/>
      <c r="B171" s="24"/>
      <c r="C171" s="24"/>
      <c r="D171" s="24"/>
      <c r="E171" s="24"/>
      <c r="F171" s="24"/>
      <c r="G171" s="24"/>
      <c r="H171" s="24"/>
      <c r="I171" s="24"/>
      <c r="J171" s="137"/>
      <c r="K171" s="24"/>
      <c r="L171" s="24"/>
      <c r="M171" s="24"/>
      <c r="N171" s="137"/>
      <c r="O171" s="24"/>
      <c r="P171" s="24"/>
      <c r="Q171" s="24"/>
      <c r="R171" s="24"/>
      <c r="S171" s="24"/>
      <c r="T171" s="24"/>
      <c r="U171" s="24"/>
      <c r="V171" s="24"/>
      <c r="W171" s="24"/>
      <c r="X171" s="24"/>
      <c r="Y171" s="54"/>
      <c r="Z171" s="55"/>
      <c r="AA171" s="56"/>
      <c r="AB171" s="56"/>
    </row>
    <row r="172" spans="1:28" s="21" customFormat="1" ht="34.5" customHeight="1">
      <c r="A172" s="24"/>
      <c r="B172" s="24"/>
      <c r="C172" s="24"/>
      <c r="D172" s="24"/>
      <c r="E172" s="24"/>
      <c r="F172" s="24"/>
      <c r="G172" s="24"/>
      <c r="H172" s="24"/>
      <c r="I172" s="24"/>
      <c r="J172" s="137"/>
      <c r="K172" s="24"/>
      <c r="L172" s="24"/>
      <c r="M172" s="24"/>
      <c r="N172" s="137"/>
      <c r="O172" s="24"/>
      <c r="P172" s="24"/>
      <c r="Q172" s="24"/>
      <c r="R172" s="24"/>
      <c r="S172" s="24"/>
      <c r="T172" s="24"/>
      <c r="U172" s="24"/>
      <c r="V172" s="24"/>
      <c r="W172" s="24"/>
      <c r="X172" s="24"/>
      <c r="Y172" s="54"/>
      <c r="Z172" s="55"/>
      <c r="AA172" s="56"/>
      <c r="AB172" s="56"/>
    </row>
    <row r="173" spans="1:28" s="21" customFormat="1" ht="34.5" customHeight="1">
      <c r="A173" s="24"/>
      <c r="B173" s="24"/>
      <c r="C173" s="24"/>
      <c r="D173" s="24"/>
      <c r="E173" s="24"/>
      <c r="F173" s="24"/>
      <c r="G173" s="24"/>
      <c r="H173" s="24"/>
      <c r="I173" s="24"/>
      <c r="J173" s="137"/>
      <c r="K173" s="24"/>
      <c r="L173" s="24"/>
      <c r="M173" s="24"/>
      <c r="N173" s="137"/>
      <c r="O173" s="24"/>
      <c r="P173" s="24"/>
      <c r="Q173" s="24"/>
      <c r="R173" s="24"/>
      <c r="S173" s="24"/>
      <c r="T173" s="24"/>
      <c r="U173" s="24"/>
      <c r="V173" s="24"/>
      <c r="W173" s="24"/>
      <c r="X173" s="24"/>
      <c r="Y173" s="54"/>
      <c r="Z173" s="55"/>
      <c r="AA173" s="56"/>
      <c r="AB173" s="56"/>
    </row>
    <row r="174" spans="1:28" s="21" customFormat="1" ht="34.5" customHeight="1">
      <c r="A174" s="24"/>
      <c r="B174" s="24"/>
      <c r="C174" s="24"/>
      <c r="D174" s="24"/>
      <c r="E174" s="24"/>
      <c r="F174" s="24"/>
      <c r="G174" s="24"/>
      <c r="H174" s="24"/>
      <c r="I174" s="24"/>
      <c r="J174" s="137"/>
      <c r="K174" s="24"/>
      <c r="L174" s="24"/>
      <c r="M174" s="24"/>
      <c r="N174" s="137"/>
      <c r="O174" s="24"/>
      <c r="P174" s="24"/>
      <c r="Q174" s="24"/>
      <c r="R174" s="24"/>
      <c r="S174" s="24"/>
      <c r="T174" s="24"/>
      <c r="U174" s="24"/>
      <c r="V174" s="24"/>
      <c r="W174" s="24"/>
      <c r="X174" s="24"/>
      <c r="Y174" s="54"/>
      <c r="Z174" s="55"/>
      <c r="AA174" s="56"/>
      <c r="AB174" s="56"/>
    </row>
    <row r="175" spans="1:28" s="21" customFormat="1" ht="34.5" customHeight="1">
      <c r="A175" s="24"/>
      <c r="B175" s="24"/>
      <c r="C175" s="24"/>
      <c r="D175" s="24"/>
      <c r="E175" s="24"/>
      <c r="F175" s="24"/>
      <c r="G175" s="24"/>
      <c r="H175" s="24"/>
      <c r="I175" s="24"/>
      <c r="J175" s="137"/>
      <c r="K175" s="24"/>
      <c r="L175" s="24"/>
      <c r="M175" s="24"/>
      <c r="N175" s="137"/>
      <c r="O175" s="24"/>
      <c r="P175" s="24"/>
      <c r="Q175" s="24"/>
      <c r="R175" s="24"/>
      <c r="S175" s="24"/>
      <c r="T175" s="24"/>
      <c r="U175" s="24"/>
      <c r="V175" s="24"/>
      <c r="W175" s="24"/>
      <c r="X175" s="24"/>
      <c r="Y175" s="54"/>
      <c r="Z175" s="55"/>
      <c r="AA175" s="56"/>
      <c r="AB175" s="56"/>
    </row>
    <row r="176" spans="1:28" s="21" customFormat="1" ht="34.5" customHeight="1">
      <c r="A176" s="24"/>
      <c r="B176" s="24"/>
      <c r="C176" s="24"/>
      <c r="D176" s="24"/>
      <c r="E176" s="24"/>
      <c r="F176" s="24"/>
      <c r="G176" s="24"/>
      <c r="H176" s="24"/>
      <c r="I176" s="24"/>
      <c r="J176" s="137"/>
      <c r="K176" s="24"/>
      <c r="L176" s="24"/>
      <c r="M176" s="24"/>
      <c r="N176" s="137"/>
      <c r="O176" s="24"/>
      <c r="P176" s="24"/>
      <c r="Q176" s="24"/>
      <c r="R176" s="24"/>
      <c r="S176" s="24"/>
      <c r="T176" s="24"/>
      <c r="U176" s="24"/>
      <c r="V176" s="24"/>
      <c r="W176" s="24"/>
      <c r="X176" s="24"/>
      <c r="Y176" s="54"/>
      <c r="Z176" s="55"/>
      <c r="AA176" s="56"/>
      <c r="AB176" s="56"/>
    </row>
    <row r="177" spans="1:28" s="21" customFormat="1" ht="34.5" customHeight="1">
      <c r="A177" s="24"/>
      <c r="B177" s="24"/>
      <c r="C177" s="24"/>
      <c r="D177" s="24"/>
      <c r="E177" s="24"/>
      <c r="F177" s="24"/>
      <c r="G177" s="24"/>
      <c r="H177" s="24"/>
      <c r="I177" s="24"/>
      <c r="J177" s="137"/>
      <c r="K177" s="24"/>
      <c r="L177" s="24"/>
      <c r="M177" s="24"/>
      <c r="N177" s="137"/>
      <c r="O177" s="24"/>
      <c r="P177" s="24"/>
      <c r="Q177" s="24"/>
      <c r="R177" s="24"/>
      <c r="S177" s="24"/>
      <c r="T177" s="24"/>
      <c r="U177" s="24"/>
      <c r="V177" s="24"/>
      <c r="W177" s="24"/>
      <c r="X177" s="24"/>
      <c r="Y177" s="54"/>
      <c r="Z177" s="55"/>
      <c r="AA177" s="56"/>
      <c r="AB177" s="56"/>
    </row>
    <row r="178" spans="1:28" s="21" customFormat="1" ht="34.5" customHeight="1">
      <c r="A178" s="24"/>
      <c r="B178" s="24"/>
      <c r="C178" s="24"/>
      <c r="D178" s="24"/>
      <c r="E178" s="24"/>
      <c r="F178" s="24"/>
      <c r="G178" s="24"/>
      <c r="H178" s="24"/>
      <c r="I178" s="24"/>
      <c r="J178" s="137"/>
      <c r="K178" s="24"/>
      <c r="L178" s="24"/>
      <c r="M178" s="24"/>
      <c r="N178" s="137"/>
      <c r="O178" s="24"/>
      <c r="P178" s="24"/>
      <c r="Q178" s="24"/>
      <c r="R178" s="24"/>
      <c r="S178" s="24"/>
      <c r="T178" s="24"/>
      <c r="U178" s="24"/>
      <c r="V178" s="24"/>
      <c r="W178" s="24"/>
      <c r="X178" s="24"/>
      <c r="Y178" s="54"/>
      <c r="Z178" s="55"/>
      <c r="AA178" s="56"/>
      <c r="AB178" s="56"/>
    </row>
    <row r="179" spans="1:28" s="21" customFormat="1" ht="34.5" customHeight="1">
      <c r="A179" s="24"/>
      <c r="B179" s="24"/>
      <c r="C179" s="24"/>
      <c r="D179" s="24"/>
      <c r="E179" s="24"/>
      <c r="F179" s="24"/>
      <c r="G179" s="24"/>
      <c r="H179" s="24"/>
      <c r="I179" s="24"/>
      <c r="J179" s="137"/>
      <c r="K179" s="24"/>
      <c r="L179" s="24"/>
      <c r="M179" s="24"/>
      <c r="N179" s="137"/>
      <c r="O179" s="24"/>
      <c r="P179" s="24"/>
      <c r="Q179" s="24"/>
      <c r="R179" s="24"/>
      <c r="S179" s="24"/>
      <c r="T179" s="24"/>
      <c r="U179" s="24"/>
      <c r="V179" s="24"/>
      <c r="W179" s="24"/>
      <c r="X179" s="24"/>
      <c r="Y179" s="54"/>
      <c r="Z179" s="55"/>
      <c r="AA179" s="56"/>
      <c r="AB179" s="56"/>
    </row>
    <row r="180" spans="1:28" s="21" customFormat="1" ht="34.5" customHeight="1">
      <c r="A180" s="24"/>
      <c r="B180" s="24"/>
      <c r="C180" s="24"/>
      <c r="D180" s="24"/>
      <c r="E180" s="24"/>
      <c r="F180" s="24"/>
      <c r="G180" s="24"/>
      <c r="H180" s="24"/>
      <c r="I180" s="24"/>
      <c r="J180" s="137"/>
      <c r="K180" s="24"/>
      <c r="L180" s="24"/>
      <c r="M180" s="24"/>
      <c r="N180" s="137"/>
      <c r="O180" s="24"/>
      <c r="P180" s="24"/>
      <c r="Q180" s="24"/>
      <c r="R180" s="24"/>
      <c r="S180" s="24"/>
      <c r="T180" s="24"/>
      <c r="U180" s="24"/>
      <c r="V180" s="24"/>
      <c r="W180" s="24"/>
      <c r="X180" s="24"/>
      <c r="Y180" s="54"/>
      <c r="Z180" s="55"/>
      <c r="AA180" s="56"/>
      <c r="AB180" s="56"/>
    </row>
    <row r="181" spans="1:28" s="21" customFormat="1" ht="34.5" customHeight="1">
      <c r="A181" s="24"/>
      <c r="B181" s="24"/>
      <c r="C181" s="24"/>
      <c r="D181" s="24"/>
      <c r="E181" s="24"/>
      <c r="F181" s="24"/>
      <c r="G181" s="24"/>
      <c r="H181" s="24"/>
      <c r="I181" s="24"/>
      <c r="J181" s="137"/>
      <c r="K181" s="24"/>
      <c r="L181" s="24"/>
      <c r="M181" s="24"/>
      <c r="N181" s="137"/>
      <c r="O181" s="24"/>
      <c r="P181" s="24"/>
      <c r="Q181" s="24"/>
      <c r="R181" s="24"/>
      <c r="S181" s="24"/>
      <c r="T181" s="24"/>
      <c r="U181" s="24"/>
      <c r="V181" s="24"/>
      <c r="W181" s="24"/>
      <c r="X181" s="24"/>
      <c r="Y181" s="54"/>
      <c r="Z181" s="55"/>
      <c r="AA181" s="56"/>
      <c r="AB181" s="56"/>
    </row>
    <row r="182" spans="1:28" s="21" customFormat="1" ht="34.5" customHeight="1">
      <c r="A182" s="24"/>
      <c r="B182" s="24"/>
      <c r="C182" s="24"/>
      <c r="D182" s="24"/>
      <c r="E182" s="24"/>
      <c r="F182" s="24"/>
      <c r="G182" s="24"/>
      <c r="H182" s="24"/>
      <c r="I182" s="24"/>
      <c r="J182" s="137"/>
      <c r="K182" s="24"/>
      <c r="L182" s="24"/>
      <c r="M182" s="24"/>
      <c r="N182" s="137"/>
      <c r="O182" s="24"/>
      <c r="P182" s="24"/>
      <c r="Q182" s="24"/>
      <c r="R182" s="24"/>
      <c r="S182" s="24"/>
      <c r="T182" s="24"/>
      <c r="U182" s="24"/>
      <c r="V182" s="24"/>
      <c r="W182" s="24"/>
      <c r="X182" s="24"/>
      <c r="Y182" s="54"/>
      <c r="Z182" s="55"/>
      <c r="AA182" s="56"/>
      <c r="AB182" s="56"/>
    </row>
    <row r="183" spans="1:28" s="21" customFormat="1" ht="34.5" customHeight="1">
      <c r="A183" s="24"/>
      <c r="B183" s="24"/>
      <c r="C183" s="24"/>
      <c r="D183" s="24"/>
      <c r="E183" s="24"/>
      <c r="F183" s="24"/>
      <c r="G183" s="24"/>
      <c r="H183" s="24"/>
      <c r="I183" s="24"/>
      <c r="J183" s="137"/>
      <c r="K183" s="24"/>
      <c r="L183" s="24"/>
      <c r="M183" s="24"/>
      <c r="N183" s="137"/>
      <c r="O183" s="24"/>
      <c r="P183" s="24"/>
      <c r="Q183" s="24"/>
      <c r="R183" s="24"/>
      <c r="S183" s="24"/>
      <c r="T183" s="24"/>
      <c r="U183" s="24"/>
      <c r="V183" s="24"/>
      <c r="W183" s="24"/>
      <c r="X183" s="24"/>
      <c r="Y183" s="54"/>
      <c r="Z183" s="55"/>
      <c r="AA183" s="56"/>
      <c r="AB183" s="56"/>
    </row>
    <row r="184" spans="1:28" s="21" customFormat="1" ht="34.5" customHeight="1">
      <c r="A184" s="24"/>
      <c r="B184" s="24"/>
      <c r="C184" s="24"/>
      <c r="D184" s="24"/>
      <c r="E184" s="24"/>
      <c r="F184" s="24"/>
      <c r="G184" s="24"/>
      <c r="H184" s="24"/>
      <c r="I184" s="24"/>
      <c r="J184" s="137"/>
      <c r="K184" s="24"/>
      <c r="L184" s="24"/>
      <c r="M184" s="24"/>
      <c r="N184" s="137"/>
      <c r="O184" s="24"/>
      <c r="P184" s="24"/>
      <c r="Q184" s="24"/>
      <c r="R184" s="24"/>
      <c r="S184" s="24"/>
      <c r="T184" s="24"/>
      <c r="U184" s="24"/>
      <c r="V184" s="24"/>
      <c r="W184" s="24"/>
      <c r="X184" s="24"/>
      <c r="Y184" s="54"/>
      <c r="Z184" s="55"/>
      <c r="AA184" s="56"/>
      <c r="AB184" s="56"/>
    </row>
    <row r="185" spans="1:28" s="21" customFormat="1" ht="34.5" customHeight="1">
      <c r="A185" s="24"/>
      <c r="B185" s="24"/>
      <c r="C185" s="24"/>
      <c r="D185" s="24"/>
      <c r="E185" s="24"/>
      <c r="F185" s="24"/>
      <c r="G185" s="24"/>
      <c r="H185" s="24"/>
      <c r="I185" s="24"/>
      <c r="J185" s="137"/>
      <c r="K185" s="24"/>
      <c r="L185" s="24"/>
      <c r="M185" s="24"/>
      <c r="N185" s="137"/>
      <c r="O185" s="24"/>
      <c r="P185" s="24"/>
      <c r="Q185" s="24"/>
      <c r="R185" s="24"/>
      <c r="S185" s="24"/>
      <c r="T185" s="24"/>
      <c r="U185" s="24"/>
      <c r="V185" s="24"/>
      <c r="W185" s="24"/>
      <c r="X185" s="24"/>
      <c r="Y185" s="54"/>
      <c r="Z185" s="55"/>
      <c r="AA185" s="56"/>
      <c r="AB185" s="56"/>
    </row>
    <row r="186" spans="1:28" s="21" customFormat="1" ht="34.5" customHeight="1">
      <c r="A186" s="24"/>
      <c r="B186" s="24"/>
      <c r="C186" s="24"/>
      <c r="D186" s="24"/>
      <c r="E186" s="24"/>
      <c r="F186" s="24"/>
      <c r="G186" s="24"/>
      <c r="H186" s="24"/>
      <c r="I186" s="24"/>
      <c r="J186" s="137"/>
      <c r="K186" s="24"/>
      <c r="L186" s="24"/>
      <c r="M186" s="24"/>
      <c r="N186" s="137"/>
      <c r="O186" s="24"/>
      <c r="P186" s="24"/>
      <c r="Q186" s="24"/>
      <c r="R186" s="24"/>
      <c r="S186" s="24"/>
      <c r="T186" s="24"/>
      <c r="U186" s="24"/>
      <c r="V186" s="24"/>
      <c r="W186" s="24"/>
      <c r="X186" s="24"/>
      <c r="Y186" s="54"/>
      <c r="Z186" s="55"/>
      <c r="AA186" s="56"/>
      <c r="AB186" s="56"/>
    </row>
    <row r="187" spans="1:28" s="21" customFormat="1" ht="34.5" customHeight="1">
      <c r="A187" s="24"/>
      <c r="B187" s="24"/>
      <c r="C187" s="24"/>
      <c r="D187" s="24"/>
      <c r="E187" s="24"/>
      <c r="F187" s="24"/>
      <c r="G187" s="24"/>
      <c r="H187" s="24"/>
      <c r="I187" s="24"/>
      <c r="J187" s="137"/>
      <c r="K187" s="24"/>
      <c r="L187" s="24"/>
      <c r="M187" s="24"/>
      <c r="N187" s="137"/>
      <c r="O187" s="24"/>
      <c r="P187" s="24"/>
      <c r="Q187" s="24"/>
      <c r="R187" s="24"/>
      <c r="S187" s="24"/>
      <c r="T187" s="24"/>
      <c r="U187" s="24"/>
      <c r="V187" s="24"/>
      <c r="W187" s="24"/>
      <c r="X187" s="24"/>
      <c r="Y187" s="54"/>
      <c r="Z187" s="55"/>
      <c r="AA187" s="56"/>
      <c r="AB187" s="56"/>
    </row>
    <row r="188" spans="1:28" s="21" customFormat="1" ht="34.5" customHeight="1">
      <c r="A188" s="24"/>
      <c r="B188" s="24"/>
      <c r="C188" s="24"/>
      <c r="D188" s="24"/>
      <c r="E188" s="24"/>
      <c r="F188" s="24"/>
      <c r="G188" s="24"/>
      <c r="H188" s="24"/>
      <c r="I188" s="24"/>
      <c r="J188" s="137"/>
      <c r="K188" s="24"/>
      <c r="L188" s="24"/>
      <c r="M188" s="24"/>
      <c r="N188" s="137"/>
      <c r="O188" s="24"/>
      <c r="P188" s="24"/>
      <c r="Q188" s="24"/>
      <c r="R188" s="24"/>
      <c r="S188" s="24"/>
      <c r="T188" s="24"/>
      <c r="U188" s="24"/>
      <c r="V188" s="24"/>
      <c r="W188" s="24"/>
      <c r="X188" s="24"/>
      <c r="Y188" s="54"/>
      <c r="Z188" s="55"/>
      <c r="AA188" s="56"/>
      <c r="AB188" s="56"/>
    </row>
    <row r="189" spans="1:28" s="21" customFormat="1" ht="34.5" customHeight="1">
      <c r="A189" s="24"/>
      <c r="B189" s="24"/>
      <c r="C189" s="24"/>
      <c r="D189" s="24"/>
      <c r="E189" s="24"/>
      <c r="F189" s="24"/>
      <c r="G189" s="24"/>
      <c r="H189" s="24"/>
      <c r="I189" s="24"/>
      <c r="J189" s="137"/>
      <c r="K189" s="24"/>
      <c r="L189" s="24"/>
      <c r="M189" s="24"/>
      <c r="N189" s="137"/>
      <c r="O189" s="24"/>
      <c r="P189" s="24"/>
      <c r="Q189" s="24"/>
      <c r="R189" s="24"/>
      <c r="S189" s="24"/>
      <c r="T189" s="24"/>
      <c r="U189" s="24"/>
      <c r="V189" s="24"/>
      <c r="W189" s="24"/>
      <c r="X189" s="24"/>
      <c r="Y189" s="54"/>
      <c r="Z189" s="55"/>
      <c r="AA189" s="56"/>
      <c r="AB189" s="56"/>
    </row>
    <row r="190" spans="1:28" s="21" customFormat="1" ht="34.5" customHeight="1">
      <c r="A190" s="24"/>
      <c r="B190" s="24"/>
      <c r="C190" s="24"/>
      <c r="D190" s="24"/>
      <c r="E190" s="24"/>
      <c r="F190" s="24"/>
      <c r="G190" s="24"/>
      <c r="H190" s="24"/>
      <c r="I190" s="24"/>
      <c r="J190" s="137"/>
      <c r="K190" s="24"/>
      <c r="L190" s="24"/>
      <c r="M190" s="24"/>
      <c r="N190" s="137"/>
      <c r="O190" s="24"/>
      <c r="P190" s="24"/>
      <c r="Q190" s="24"/>
      <c r="R190" s="24"/>
      <c r="S190" s="24"/>
      <c r="T190" s="24"/>
      <c r="U190" s="24"/>
      <c r="V190" s="24"/>
      <c r="W190" s="24"/>
      <c r="X190" s="24"/>
      <c r="Y190" s="54"/>
      <c r="Z190" s="55"/>
      <c r="AA190" s="56"/>
      <c r="AB190" s="56"/>
    </row>
    <row r="191" spans="1:28" s="21" customFormat="1" ht="34.5" customHeight="1">
      <c r="A191" s="24"/>
      <c r="B191" s="24"/>
      <c r="C191" s="24"/>
      <c r="D191" s="24"/>
      <c r="E191" s="24"/>
      <c r="F191" s="24"/>
      <c r="G191" s="24"/>
      <c r="H191" s="24"/>
      <c r="I191" s="24"/>
      <c r="J191" s="137"/>
      <c r="K191" s="24"/>
      <c r="L191" s="24"/>
      <c r="M191" s="24"/>
      <c r="N191" s="137"/>
      <c r="O191" s="24"/>
      <c r="P191" s="24"/>
      <c r="Q191" s="24"/>
      <c r="R191" s="24"/>
      <c r="S191" s="24"/>
      <c r="T191" s="24"/>
      <c r="U191" s="24"/>
      <c r="V191" s="24"/>
      <c r="W191" s="24"/>
      <c r="X191" s="24"/>
      <c r="Y191" s="54"/>
      <c r="Z191" s="55"/>
      <c r="AA191" s="56"/>
      <c r="AB191" s="56"/>
    </row>
    <row r="192" spans="1:28" s="21" customFormat="1" ht="34.5" customHeight="1">
      <c r="A192" s="24"/>
      <c r="B192" s="24"/>
      <c r="C192" s="24"/>
      <c r="D192" s="24"/>
      <c r="E192" s="24"/>
      <c r="F192" s="24"/>
      <c r="G192" s="24"/>
      <c r="H192" s="24"/>
      <c r="I192" s="24"/>
      <c r="J192" s="137"/>
      <c r="K192" s="24"/>
      <c r="L192" s="24"/>
      <c r="M192" s="24"/>
      <c r="N192" s="137"/>
      <c r="O192" s="24"/>
      <c r="P192" s="24"/>
      <c r="Q192" s="24"/>
      <c r="R192" s="24"/>
      <c r="S192" s="24"/>
      <c r="T192" s="24"/>
      <c r="U192" s="24"/>
      <c r="V192" s="24"/>
      <c r="W192" s="24"/>
      <c r="X192" s="24"/>
      <c r="Y192" s="54"/>
      <c r="Z192" s="55"/>
      <c r="AA192" s="56"/>
      <c r="AB192" s="56"/>
    </row>
    <row r="193" spans="1:28" s="21" customFormat="1" ht="34.5" customHeight="1">
      <c r="A193" s="24"/>
      <c r="B193" s="24"/>
      <c r="C193" s="24"/>
      <c r="D193" s="24"/>
      <c r="E193" s="24"/>
      <c r="F193" s="24"/>
      <c r="G193" s="24"/>
      <c r="H193" s="24"/>
      <c r="I193" s="24"/>
      <c r="J193" s="137"/>
      <c r="K193" s="24"/>
      <c r="L193" s="24"/>
      <c r="M193" s="24"/>
      <c r="N193" s="137"/>
      <c r="O193" s="24"/>
      <c r="P193" s="24"/>
      <c r="Q193" s="24"/>
      <c r="R193" s="24"/>
      <c r="S193" s="24"/>
      <c r="T193" s="24"/>
      <c r="U193" s="24"/>
      <c r="V193" s="24"/>
      <c r="W193" s="24"/>
      <c r="X193" s="24"/>
      <c r="Y193" s="54"/>
      <c r="Z193" s="55"/>
      <c r="AA193" s="56"/>
      <c r="AB193" s="56"/>
    </row>
    <row r="194" spans="1:28" s="21" customFormat="1" ht="34.5" customHeight="1">
      <c r="A194" s="24"/>
      <c r="B194" s="24"/>
      <c r="C194" s="24"/>
      <c r="D194" s="24"/>
      <c r="E194" s="24"/>
      <c r="F194" s="24"/>
      <c r="G194" s="24"/>
      <c r="H194" s="24"/>
      <c r="I194" s="24"/>
      <c r="J194" s="137"/>
      <c r="K194" s="24"/>
      <c r="L194" s="24"/>
      <c r="M194" s="24"/>
      <c r="N194" s="137"/>
      <c r="O194" s="24"/>
      <c r="P194" s="24"/>
      <c r="Q194" s="24"/>
      <c r="R194" s="24"/>
      <c r="S194" s="24"/>
      <c r="T194" s="24"/>
      <c r="U194" s="24"/>
      <c r="V194" s="24"/>
      <c r="W194" s="24"/>
      <c r="X194" s="24"/>
      <c r="Y194" s="54"/>
      <c r="Z194" s="55"/>
      <c r="AA194" s="56"/>
      <c r="AB194" s="56"/>
    </row>
    <row r="195" spans="1:28" s="21" customFormat="1" ht="34.5" customHeight="1">
      <c r="A195" s="24"/>
      <c r="B195" s="24"/>
      <c r="C195" s="24"/>
      <c r="D195" s="24"/>
      <c r="E195" s="24"/>
      <c r="F195" s="24"/>
      <c r="G195" s="24"/>
      <c r="H195" s="24"/>
      <c r="I195" s="24"/>
      <c r="J195" s="137"/>
      <c r="K195" s="24"/>
      <c r="L195" s="24"/>
      <c r="M195" s="24"/>
      <c r="N195" s="137"/>
      <c r="O195" s="24"/>
      <c r="P195" s="24"/>
      <c r="Q195" s="24"/>
      <c r="R195" s="24"/>
      <c r="S195" s="24"/>
      <c r="T195" s="24"/>
      <c r="U195" s="24"/>
      <c r="V195" s="24"/>
      <c r="W195" s="24"/>
      <c r="X195" s="24"/>
      <c r="Y195" s="54"/>
      <c r="Z195" s="55"/>
      <c r="AA195" s="56"/>
      <c r="AB195" s="56"/>
    </row>
    <row r="196" spans="1:28" s="21" customFormat="1" ht="34.5" customHeight="1">
      <c r="A196" s="24"/>
      <c r="B196" s="24"/>
      <c r="C196" s="24"/>
      <c r="D196" s="24"/>
      <c r="E196" s="24"/>
      <c r="F196" s="24"/>
      <c r="G196" s="24"/>
      <c r="H196" s="24"/>
      <c r="I196" s="24"/>
      <c r="J196" s="137"/>
      <c r="K196" s="24"/>
      <c r="L196" s="24"/>
      <c r="M196" s="24"/>
      <c r="N196" s="137"/>
      <c r="O196" s="24"/>
      <c r="P196" s="24"/>
      <c r="Q196" s="24"/>
      <c r="R196" s="24"/>
      <c r="S196" s="24"/>
      <c r="T196" s="24"/>
      <c r="U196" s="24"/>
      <c r="V196" s="24"/>
      <c r="W196" s="24"/>
      <c r="X196" s="24"/>
      <c r="Y196" s="54"/>
      <c r="Z196" s="55"/>
      <c r="AA196" s="56"/>
      <c r="AB196" s="56"/>
    </row>
    <row r="197" spans="1:28" s="21" customFormat="1" ht="34.5" customHeight="1">
      <c r="A197" s="24"/>
      <c r="B197" s="24"/>
      <c r="C197" s="24"/>
      <c r="D197" s="24"/>
      <c r="E197" s="24"/>
      <c r="F197" s="24"/>
      <c r="G197" s="24"/>
      <c r="H197" s="24"/>
      <c r="I197" s="24"/>
      <c r="J197" s="137"/>
      <c r="K197" s="24"/>
      <c r="L197" s="24"/>
      <c r="M197" s="24"/>
      <c r="N197" s="137"/>
      <c r="O197" s="24"/>
      <c r="P197" s="24"/>
      <c r="Q197" s="24"/>
      <c r="R197" s="24"/>
      <c r="S197" s="24"/>
      <c r="T197" s="24"/>
      <c r="U197" s="24"/>
      <c r="V197" s="24"/>
      <c r="W197" s="24"/>
      <c r="X197" s="24"/>
      <c r="Y197" s="54"/>
      <c r="Z197" s="55"/>
      <c r="AA197" s="56"/>
      <c r="AB197" s="56"/>
    </row>
    <row r="198" spans="1:28" s="21" customFormat="1" ht="34.5" customHeight="1">
      <c r="A198" s="24"/>
      <c r="B198" s="24"/>
      <c r="C198" s="24"/>
      <c r="D198" s="24"/>
      <c r="E198" s="24"/>
      <c r="F198" s="24"/>
      <c r="G198" s="24"/>
      <c r="H198" s="24"/>
      <c r="I198" s="24"/>
      <c r="J198" s="137"/>
      <c r="K198" s="24"/>
      <c r="L198" s="24"/>
      <c r="M198" s="24"/>
      <c r="N198" s="137"/>
      <c r="O198" s="24"/>
      <c r="P198" s="24"/>
      <c r="Q198" s="24"/>
      <c r="R198" s="24"/>
      <c r="S198" s="24"/>
      <c r="T198" s="24"/>
      <c r="U198" s="24"/>
      <c r="V198" s="24"/>
      <c r="W198" s="24"/>
      <c r="X198" s="24"/>
      <c r="Y198" s="54"/>
      <c r="Z198" s="55"/>
      <c r="AA198" s="56"/>
      <c r="AB198" s="56"/>
    </row>
    <row r="199" spans="1:28" s="21" customFormat="1" ht="34.5" customHeight="1">
      <c r="A199" s="24"/>
      <c r="B199" s="24"/>
      <c r="C199" s="24"/>
      <c r="D199" s="24"/>
      <c r="E199" s="24"/>
      <c r="F199" s="24"/>
      <c r="G199" s="24"/>
      <c r="H199" s="24"/>
      <c r="I199" s="24"/>
      <c r="J199" s="137"/>
      <c r="K199" s="24"/>
      <c r="L199" s="24"/>
      <c r="M199" s="24"/>
      <c r="N199" s="137"/>
      <c r="O199" s="24"/>
      <c r="P199" s="24"/>
      <c r="Q199" s="24"/>
      <c r="R199" s="24"/>
      <c r="S199" s="24"/>
      <c r="T199" s="24"/>
      <c r="U199" s="24"/>
      <c r="V199" s="24"/>
      <c r="W199" s="24"/>
      <c r="X199" s="24"/>
      <c r="Y199" s="54"/>
      <c r="Z199" s="55"/>
      <c r="AA199" s="56"/>
      <c r="AB199" s="56"/>
    </row>
    <row r="200" spans="1:28" s="21" customFormat="1" ht="34.5" customHeight="1">
      <c r="A200" s="24"/>
      <c r="B200" s="24"/>
      <c r="C200" s="24"/>
      <c r="D200" s="24"/>
      <c r="E200" s="24"/>
      <c r="F200" s="24"/>
      <c r="G200" s="24"/>
      <c r="H200" s="24"/>
      <c r="I200" s="24"/>
      <c r="J200" s="137"/>
      <c r="K200" s="24"/>
      <c r="L200" s="24"/>
      <c r="M200" s="24"/>
      <c r="N200" s="137"/>
      <c r="O200" s="24"/>
      <c r="P200" s="24"/>
      <c r="Q200" s="24"/>
      <c r="R200" s="24"/>
      <c r="S200" s="24"/>
      <c r="T200" s="24"/>
      <c r="U200" s="24"/>
      <c r="V200" s="24"/>
      <c r="W200" s="24"/>
      <c r="X200" s="24"/>
      <c r="Y200" s="54"/>
      <c r="Z200" s="55"/>
      <c r="AA200" s="56"/>
      <c r="AB200" s="56"/>
    </row>
    <row r="201" spans="1:28" s="21" customFormat="1" ht="34.5" customHeight="1">
      <c r="A201" s="24"/>
      <c r="B201" s="24"/>
      <c r="C201" s="24"/>
      <c r="D201" s="24"/>
      <c r="E201" s="24"/>
      <c r="F201" s="24"/>
      <c r="G201" s="24"/>
      <c r="H201" s="24"/>
      <c r="I201" s="24"/>
      <c r="J201" s="137"/>
      <c r="K201" s="24"/>
      <c r="L201" s="24"/>
      <c r="M201" s="24"/>
      <c r="N201" s="137"/>
      <c r="O201" s="24"/>
      <c r="P201" s="24"/>
      <c r="Q201" s="24"/>
      <c r="R201" s="24"/>
      <c r="S201" s="24"/>
      <c r="T201" s="24"/>
      <c r="U201" s="24"/>
      <c r="V201" s="24"/>
      <c r="W201" s="24"/>
      <c r="X201" s="24"/>
      <c r="Y201" s="54"/>
      <c r="Z201" s="55"/>
      <c r="AA201" s="56"/>
      <c r="AB201" s="56"/>
    </row>
    <row r="202" spans="1:28" s="21" customFormat="1" ht="34.5" customHeight="1">
      <c r="A202" s="24"/>
      <c r="B202" s="24"/>
      <c r="C202" s="24"/>
      <c r="D202" s="24"/>
      <c r="E202" s="24"/>
      <c r="F202" s="24"/>
      <c r="G202" s="24"/>
      <c r="H202" s="24"/>
      <c r="I202" s="24"/>
      <c r="J202" s="137"/>
      <c r="K202" s="24"/>
      <c r="L202" s="24"/>
      <c r="M202" s="24"/>
      <c r="N202" s="137"/>
      <c r="O202" s="24"/>
      <c r="P202" s="24"/>
      <c r="Q202" s="24"/>
      <c r="R202" s="24"/>
      <c r="S202" s="24"/>
      <c r="T202" s="24"/>
      <c r="U202" s="24"/>
      <c r="V202" s="24"/>
      <c r="W202" s="24"/>
      <c r="X202" s="24"/>
      <c r="Y202" s="54"/>
      <c r="Z202" s="55"/>
      <c r="AA202" s="56"/>
      <c r="AB202" s="56"/>
    </row>
    <row r="203" spans="1:28" s="21" customFormat="1" ht="34.5" customHeight="1">
      <c r="A203" s="24"/>
      <c r="B203" s="24"/>
      <c r="C203" s="24"/>
      <c r="D203" s="24"/>
      <c r="E203" s="24"/>
      <c r="F203" s="24"/>
      <c r="G203" s="24"/>
      <c r="H203" s="24"/>
      <c r="I203" s="24"/>
      <c r="J203" s="137"/>
      <c r="K203" s="24"/>
      <c r="L203" s="24"/>
      <c r="M203" s="24"/>
      <c r="N203" s="137"/>
      <c r="O203" s="24"/>
      <c r="P203" s="24"/>
      <c r="Q203" s="24"/>
      <c r="R203" s="24"/>
      <c r="S203" s="24"/>
      <c r="T203" s="24"/>
      <c r="U203" s="24"/>
      <c r="V203" s="24"/>
      <c r="W203" s="24"/>
      <c r="X203" s="24"/>
      <c r="Y203" s="54"/>
      <c r="Z203" s="55"/>
      <c r="AA203" s="56"/>
      <c r="AB203" s="56"/>
    </row>
    <row r="204" spans="1:28" s="21" customFormat="1" ht="34.5" customHeight="1">
      <c r="A204" s="24"/>
      <c r="B204" s="24"/>
      <c r="C204" s="24"/>
      <c r="D204" s="24"/>
      <c r="E204" s="24"/>
      <c r="F204" s="24"/>
      <c r="G204" s="24"/>
      <c r="H204" s="24"/>
      <c r="I204" s="24"/>
      <c r="J204" s="137"/>
      <c r="K204" s="24"/>
      <c r="L204" s="24"/>
      <c r="M204" s="24"/>
      <c r="N204" s="137"/>
      <c r="O204" s="24"/>
      <c r="P204" s="24"/>
      <c r="Q204" s="24"/>
      <c r="R204" s="24"/>
      <c r="S204" s="24"/>
      <c r="T204" s="24"/>
      <c r="U204" s="24"/>
      <c r="V204" s="24"/>
      <c r="W204" s="24"/>
      <c r="X204" s="24"/>
      <c r="Y204" s="54"/>
      <c r="Z204" s="55"/>
      <c r="AA204" s="56"/>
      <c r="AB204" s="56"/>
    </row>
    <row r="205" spans="1:28" s="21" customFormat="1" ht="34.5" customHeight="1">
      <c r="A205" s="24"/>
      <c r="B205" s="24"/>
      <c r="C205" s="24"/>
      <c r="D205" s="24"/>
      <c r="E205" s="24"/>
      <c r="F205" s="24"/>
      <c r="G205" s="24"/>
      <c r="H205" s="24"/>
      <c r="I205" s="24"/>
      <c r="J205" s="137"/>
      <c r="K205" s="24"/>
      <c r="L205" s="24"/>
      <c r="M205" s="24"/>
      <c r="N205" s="137"/>
      <c r="O205" s="24"/>
      <c r="P205" s="24"/>
      <c r="Q205" s="24"/>
      <c r="R205" s="24"/>
      <c r="S205" s="24"/>
      <c r="T205" s="24"/>
      <c r="U205" s="24"/>
      <c r="V205" s="24"/>
      <c r="W205" s="24"/>
      <c r="X205" s="24"/>
      <c r="Y205" s="54"/>
      <c r="Z205" s="55"/>
      <c r="AA205" s="56"/>
      <c r="AB205" s="56"/>
    </row>
    <row r="206" spans="1:28" s="21" customFormat="1" ht="34.5" customHeight="1">
      <c r="A206" s="24"/>
      <c r="B206" s="24"/>
      <c r="C206" s="24"/>
      <c r="D206" s="24"/>
      <c r="E206" s="24"/>
      <c r="F206" s="24"/>
      <c r="G206" s="24"/>
      <c r="H206" s="24"/>
      <c r="I206" s="24"/>
      <c r="J206" s="137"/>
      <c r="K206" s="24"/>
      <c r="L206" s="24"/>
      <c r="M206" s="24"/>
      <c r="N206" s="137"/>
      <c r="O206" s="24"/>
      <c r="P206" s="24"/>
      <c r="Q206" s="24"/>
      <c r="R206" s="24"/>
      <c r="S206" s="24"/>
      <c r="T206" s="24"/>
      <c r="U206" s="24"/>
      <c r="V206" s="24"/>
      <c r="W206" s="24"/>
      <c r="X206" s="24"/>
      <c r="Y206" s="54"/>
      <c r="Z206" s="55"/>
      <c r="AA206" s="56"/>
      <c r="AB206" s="56"/>
    </row>
    <row r="207" spans="1:28" s="21" customFormat="1" ht="34.5" customHeight="1">
      <c r="A207" s="24"/>
      <c r="B207" s="24"/>
      <c r="C207" s="24"/>
      <c r="D207" s="24"/>
      <c r="E207" s="24"/>
      <c r="F207" s="24"/>
      <c r="G207" s="24"/>
      <c r="H207" s="24"/>
      <c r="I207" s="24"/>
      <c r="J207" s="137"/>
      <c r="K207" s="24"/>
      <c r="L207" s="24"/>
      <c r="M207" s="24"/>
      <c r="N207" s="137"/>
      <c r="O207" s="24"/>
      <c r="P207" s="24"/>
      <c r="Q207" s="24"/>
      <c r="R207" s="24"/>
      <c r="S207" s="24"/>
      <c r="T207" s="24"/>
      <c r="U207" s="24"/>
      <c r="V207" s="24"/>
      <c r="W207" s="24"/>
      <c r="X207" s="24"/>
      <c r="Y207" s="54"/>
      <c r="Z207" s="55"/>
      <c r="AA207" s="56"/>
      <c r="AB207" s="56"/>
    </row>
    <row r="208" spans="1:28" s="21" customFormat="1" ht="34.5" customHeight="1">
      <c r="A208" s="24"/>
      <c r="B208" s="24"/>
      <c r="C208" s="24"/>
      <c r="D208" s="24"/>
      <c r="E208" s="24"/>
      <c r="F208" s="24"/>
      <c r="G208" s="24"/>
      <c r="H208" s="24"/>
      <c r="I208" s="24"/>
      <c r="J208" s="137"/>
      <c r="K208" s="24"/>
      <c r="L208" s="24"/>
      <c r="M208" s="24"/>
      <c r="N208" s="137"/>
      <c r="O208" s="24"/>
      <c r="P208" s="24"/>
      <c r="Q208" s="24"/>
      <c r="R208" s="24"/>
      <c r="S208" s="24"/>
      <c r="T208" s="24"/>
      <c r="U208" s="24"/>
      <c r="V208" s="24"/>
      <c r="W208" s="24"/>
      <c r="X208" s="24"/>
      <c r="Y208" s="54"/>
      <c r="Z208" s="55"/>
      <c r="AA208" s="56"/>
      <c r="AB208" s="56"/>
    </row>
    <row r="209" spans="1:28" s="21" customFormat="1" ht="34.5" customHeight="1">
      <c r="A209" s="24"/>
      <c r="B209" s="24"/>
      <c r="C209" s="24"/>
      <c r="D209" s="24"/>
      <c r="E209" s="24"/>
      <c r="F209" s="24"/>
      <c r="G209" s="24"/>
      <c r="H209" s="24"/>
      <c r="I209" s="24"/>
      <c r="J209" s="137"/>
      <c r="K209" s="24"/>
      <c r="L209" s="24"/>
      <c r="M209" s="24"/>
      <c r="N209" s="137"/>
      <c r="O209" s="24"/>
      <c r="P209" s="24"/>
      <c r="Q209" s="24"/>
      <c r="R209" s="24"/>
      <c r="S209" s="24"/>
      <c r="T209" s="24"/>
      <c r="U209" s="24"/>
      <c r="V209" s="24"/>
      <c r="W209" s="24"/>
      <c r="X209" s="24"/>
      <c r="Y209" s="54"/>
      <c r="Z209" s="55"/>
      <c r="AA209" s="56"/>
      <c r="AB209" s="56"/>
    </row>
    <row r="210" spans="1:28" s="21" customFormat="1" ht="34.5" customHeight="1">
      <c r="A210" s="24"/>
      <c r="B210" s="24"/>
      <c r="C210" s="24"/>
      <c r="D210" s="24"/>
      <c r="E210" s="24"/>
      <c r="F210" s="24"/>
      <c r="G210" s="24"/>
      <c r="H210" s="24"/>
      <c r="I210" s="24"/>
      <c r="J210" s="137"/>
      <c r="K210" s="24"/>
      <c r="L210" s="24"/>
      <c r="M210" s="24"/>
      <c r="N210" s="137"/>
      <c r="O210" s="24"/>
      <c r="P210" s="24"/>
      <c r="Q210" s="24"/>
      <c r="R210" s="24"/>
      <c r="S210" s="24"/>
      <c r="T210" s="24"/>
      <c r="U210" s="24"/>
      <c r="V210" s="24"/>
      <c r="W210" s="24"/>
      <c r="X210" s="24"/>
      <c r="Y210" s="54"/>
      <c r="Z210" s="55"/>
      <c r="AA210" s="56"/>
      <c r="AB210" s="56"/>
    </row>
    <row r="211" spans="1:28" s="21" customFormat="1" ht="34.5" customHeight="1">
      <c r="A211" s="24"/>
      <c r="B211" s="24"/>
      <c r="C211" s="24"/>
      <c r="D211" s="24"/>
      <c r="E211" s="24"/>
      <c r="F211" s="24"/>
      <c r="G211" s="24"/>
      <c r="H211" s="24"/>
      <c r="I211" s="24"/>
      <c r="J211" s="137"/>
      <c r="K211" s="24"/>
      <c r="L211" s="24"/>
      <c r="M211" s="24"/>
      <c r="N211" s="137"/>
      <c r="O211" s="24"/>
      <c r="P211" s="24"/>
      <c r="Q211" s="24"/>
      <c r="R211" s="24"/>
      <c r="S211" s="24"/>
      <c r="T211" s="24"/>
      <c r="U211" s="24"/>
      <c r="V211" s="24"/>
      <c r="W211" s="24"/>
      <c r="X211" s="24"/>
      <c r="Y211" s="54"/>
      <c r="Z211" s="55"/>
      <c r="AA211" s="56"/>
      <c r="AB211" s="56"/>
    </row>
    <row r="212" spans="1:28" s="21" customFormat="1" ht="34.5" customHeight="1">
      <c r="A212" s="24"/>
      <c r="B212" s="24"/>
      <c r="C212" s="24"/>
      <c r="D212" s="24"/>
      <c r="E212" s="24"/>
      <c r="F212" s="24"/>
      <c r="G212" s="24"/>
      <c r="H212" s="24"/>
      <c r="I212" s="24"/>
      <c r="J212" s="137"/>
      <c r="K212" s="24"/>
      <c r="L212" s="24"/>
      <c r="M212" s="24"/>
      <c r="N212" s="137"/>
      <c r="O212" s="24"/>
      <c r="P212" s="24"/>
      <c r="Q212" s="24"/>
      <c r="R212" s="24"/>
      <c r="S212" s="24"/>
      <c r="T212" s="24"/>
      <c r="U212" s="24"/>
      <c r="V212" s="24"/>
      <c r="W212" s="24"/>
      <c r="X212" s="24"/>
      <c r="Y212" s="54"/>
      <c r="Z212" s="55"/>
      <c r="AA212" s="56"/>
      <c r="AB212" s="56"/>
    </row>
    <row r="213" spans="1:28" s="21" customFormat="1" ht="34.5" customHeight="1">
      <c r="A213" s="24"/>
      <c r="B213" s="24"/>
      <c r="C213" s="24"/>
      <c r="D213" s="24"/>
      <c r="E213" s="24"/>
      <c r="F213" s="24"/>
      <c r="G213" s="24"/>
      <c r="H213" s="24"/>
      <c r="I213" s="24"/>
      <c r="J213" s="137"/>
      <c r="K213" s="24"/>
      <c r="L213" s="24"/>
      <c r="M213" s="24"/>
      <c r="N213" s="137"/>
      <c r="O213" s="24"/>
      <c r="P213" s="24"/>
      <c r="Q213" s="24"/>
      <c r="R213" s="24"/>
      <c r="S213" s="24"/>
      <c r="T213" s="24"/>
      <c r="U213" s="24"/>
      <c r="V213" s="24"/>
      <c r="W213" s="24"/>
      <c r="X213" s="24"/>
      <c r="Y213" s="54"/>
      <c r="Z213" s="55"/>
      <c r="AA213" s="56"/>
      <c r="AB213" s="56"/>
    </row>
    <row r="214" spans="1:28" s="21" customFormat="1" ht="34.5" customHeight="1">
      <c r="A214" s="24"/>
      <c r="B214" s="24"/>
      <c r="C214" s="24"/>
      <c r="D214" s="24"/>
      <c r="E214" s="24"/>
      <c r="F214" s="24"/>
      <c r="G214" s="24"/>
      <c r="H214" s="24"/>
      <c r="I214" s="24"/>
      <c r="J214" s="137"/>
      <c r="K214" s="24"/>
      <c r="L214" s="24"/>
      <c r="M214" s="24"/>
      <c r="N214" s="137"/>
      <c r="O214" s="24"/>
      <c r="P214" s="24"/>
      <c r="Q214" s="24"/>
      <c r="R214" s="24"/>
      <c r="S214" s="24"/>
      <c r="T214" s="24"/>
      <c r="U214" s="24"/>
      <c r="V214" s="24"/>
      <c r="W214" s="24"/>
      <c r="X214" s="24"/>
      <c r="Y214" s="54"/>
      <c r="Z214" s="55"/>
      <c r="AA214" s="56"/>
      <c r="AB214" s="56"/>
    </row>
    <row r="215" spans="1:28" s="21" customFormat="1" ht="34.5" customHeight="1">
      <c r="A215" s="24"/>
      <c r="B215" s="24"/>
      <c r="C215" s="24"/>
      <c r="D215" s="24"/>
      <c r="E215" s="24"/>
      <c r="F215" s="24"/>
      <c r="G215" s="24"/>
      <c r="H215" s="24"/>
      <c r="I215" s="24"/>
      <c r="J215" s="137"/>
      <c r="K215" s="24"/>
      <c r="L215" s="24"/>
      <c r="M215" s="24"/>
      <c r="N215" s="137"/>
      <c r="O215" s="24"/>
      <c r="P215" s="24"/>
      <c r="Q215" s="24"/>
      <c r="R215" s="24"/>
      <c r="S215" s="24"/>
      <c r="T215" s="24"/>
      <c r="U215" s="24"/>
      <c r="V215" s="24"/>
      <c r="W215" s="24"/>
      <c r="X215" s="24"/>
      <c r="Y215" s="54"/>
      <c r="Z215" s="55"/>
      <c r="AA215" s="56"/>
      <c r="AB215" s="56"/>
    </row>
    <row r="216" spans="1:28" s="21" customFormat="1" ht="34.5" customHeight="1">
      <c r="A216" s="24"/>
      <c r="B216" s="24"/>
      <c r="C216" s="24"/>
      <c r="D216" s="24"/>
      <c r="E216" s="24"/>
      <c r="F216" s="24"/>
      <c r="G216" s="24"/>
      <c r="H216" s="24"/>
      <c r="I216" s="24"/>
      <c r="J216" s="137"/>
      <c r="K216" s="24"/>
      <c r="L216" s="24"/>
      <c r="M216" s="24"/>
      <c r="N216" s="137"/>
      <c r="O216" s="24"/>
      <c r="P216" s="24"/>
      <c r="Q216" s="24"/>
      <c r="R216" s="24"/>
      <c r="S216" s="24"/>
      <c r="T216" s="24"/>
      <c r="U216" s="24"/>
      <c r="V216" s="24"/>
      <c r="W216" s="24"/>
      <c r="X216" s="24"/>
      <c r="Y216" s="54"/>
      <c r="Z216" s="55"/>
      <c r="AA216" s="56"/>
      <c r="AB216" s="56"/>
    </row>
    <row r="217" spans="1:28" s="21" customFormat="1" ht="34.5" customHeight="1">
      <c r="A217" s="24"/>
      <c r="B217" s="24"/>
      <c r="C217" s="24"/>
      <c r="D217" s="24"/>
      <c r="E217" s="24"/>
      <c r="F217" s="24"/>
      <c r="G217" s="24"/>
      <c r="H217" s="24"/>
      <c r="I217" s="24"/>
      <c r="J217" s="137"/>
      <c r="K217" s="24"/>
      <c r="L217" s="24"/>
      <c r="M217" s="24"/>
      <c r="N217" s="137"/>
      <c r="O217" s="24"/>
      <c r="P217" s="24"/>
      <c r="Q217" s="24"/>
      <c r="R217" s="24"/>
      <c r="S217" s="24"/>
      <c r="T217" s="24"/>
      <c r="U217" s="24"/>
      <c r="V217" s="24"/>
      <c r="W217" s="24"/>
      <c r="X217" s="24"/>
      <c r="Y217" s="54"/>
      <c r="Z217" s="55"/>
      <c r="AA217" s="56"/>
      <c r="AB217" s="56"/>
    </row>
    <row r="218" spans="1:28" s="21" customFormat="1" ht="34.5" customHeight="1">
      <c r="A218" s="24"/>
      <c r="B218" s="24"/>
      <c r="C218" s="24"/>
      <c r="D218" s="24"/>
      <c r="E218" s="24"/>
      <c r="F218" s="24"/>
      <c r="G218" s="24"/>
      <c r="H218" s="24"/>
      <c r="I218" s="24"/>
      <c r="J218" s="137"/>
      <c r="K218" s="24"/>
      <c r="L218" s="24"/>
      <c r="M218" s="24"/>
      <c r="N218" s="137"/>
      <c r="O218" s="24"/>
      <c r="P218" s="24"/>
      <c r="Q218" s="24"/>
      <c r="R218" s="24"/>
      <c r="S218" s="24"/>
      <c r="T218" s="24"/>
      <c r="U218" s="24"/>
      <c r="V218" s="24"/>
      <c r="W218" s="24"/>
      <c r="X218" s="24"/>
      <c r="Y218" s="54"/>
      <c r="Z218" s="55"/>
      <c r="AA218" s="56"/>
      <c r="AB218" s="56"/>
    </row>
    <row r="219" spans="1:28" s="21" customFormat="1" ht="34.5" customHeight="1">
      <c r="A219" s="24"/>
      <c r="B219" s="24"/>
      <c r="C219" s="24"/>
      <c r="D219" s="24"/>
      <c r="E219" s="24"/>
      <c r="F219" s="24"/>
      <c r="G219" s="24"/>
      <c r="H219" s="24"/>
      <c r="I219" s="24"/>
      <c r="J219" s="137"/>
      <c r="K219" s="24"/>
      <c r="L219" s="24"/>
      <c r="M219" s="24"/>
      <c r="N219" s="137"/>
      <c r="O219" s="24"/>
      <c r="P219" s="24"/>
      <c r="Q219" s="24"/>
      <c r="R219" s="24"/>
      <c r="S219" s="24"/>
      <c r="T219" s="24"/>
      <c r="U219" s="24"/>
      <c r="V219" s="24"/>
      <c r="W219" s="24"/>
      <c r="X219" s="24"/>
      <c r="Y219" s="54"/>
      <c r="Z219" s="55"/>
      <c r="AA219" s="56"/>
      <c r="AB219" s="56"/>
    </row>
    <row r="220" spans="1:28" s="21" customFormat="1" ht="34.5" customHeight="1">
      <c r="A220" s="24"/>
      <c r="B220" s="24"/>
      <c r="C220" s="24"/>
      <c r="D220" s="24"/>
      <c r="E220" s="24"/>
      <c r="F220" s="24"/>
      <c r="G220" s="24"/>
      <c r="H220" s="24"/>
      <c r="I220" s="24"/>
      <c r="J220" s="137"/>
      <c r="K220" s="24"/>
      <c r="L220" s="24"/>
      <c r="M220" s="24"/>
      <c r="N220" s="137"/>
      <c r="O220" s="24"/>
      <c r="P220" s="24"/>
      <c r="Q220" s="24"/>
      <c r="R220" s="24"/>
      <c r="S220" s="24"/>
      <c r="T220" s="24"/>
      <c r="U220" s="24"/>
      <c r="V220" s="24"/>
      <c r="W220" s="24"/>
      <c r="X220" s="24"/>
      <c r="Y220" s="54"/>
      <c r="Z220" s="55"/>
      <c r="AA220" s="56"/>
      <c r="AB220" s="56"/>
    </row>
    <row r="221" spans="1:28" s="21" customFormat="1" ht="34.5" customHeight="1">
      <c r="A221" s="24"/>
      <c r="B221" s="24"/>
      <c r="C221" s="24"/>
      <c r="D221" s="24"/>
      <c r="E221" s="24"/>
      <c r="F221" s="24"/>
      <c r="G221" s="24"/>
      <c r="H221" s="24"/>
      <c r="I221" s="24"/>
      <c r="J221" s="137"/>
      <c r="K221" s="24"/>
      <c r="L221" s="24"/>
      <c r="M221" s="24"/>
      <c r="N221" s="137"/>
      <c r="O221" s="24"/>
      <c r="P221" s="24"/>
      <c r="Q221" s="24"/>
      <c r="R221" s="24"/>
      <c r="S221" s="24"/>
      <c r="T221" s="24"/>
      <c r="U221" s="24"/>
      <c r="V221" s="24"/>
      <c r="W221" s="24"/>
      <c r="X221" s="24"/>
      <c r="Y221" s="54"/>
      <c r="Z221" s="55"/>
      <c r="AA221" s="56"/>
      <c r="AB221" s="56"/>
    </row>
    <row r="222" spans="1:28" s="21" customFormat="1" ht="34.5" customHeight="1">
      <c r="A222" s="24"/>
      <c r="B222" s="24"/>
      <c r="C222" s="24"/>
      <c r="D222" s="24"/>
      <c r="E222" s="24"/>
      <c r="F222" s="24"/>
      <c r="G222" s="24"/>
      <c r="H222" s="24"/>
      <c r="I222" s="24"/>
      <c r="J222" s="137"/>
      <c r="K222" s="24"/>
      <c r="L222" s="24"/>
      <c r="M222" s="24"/>
      <c r="N222" s="137"/>
      <c r="O222" s="24"/>
      <c r="P222" s="24"/>
      <c r="Q222" s="24"/>
      <c r="R222" s="24"/>
      <c r="S222" s="24"/>
      <c r="T222" s="24"/>
      <c r="U222" s="24"/>
      <c r="V222" s="24"/>
      <c r="W222" s="24"/>
      <c r="X222" s="24"/>
      <c r="Y222" s="54"/>
      <c r="Z222" s="55"/>
      <c r="AA222" s="56"/>
      <c r="AB222" s="56"/>
    </row>
    <row r="223" spans="1:28" s="21" customFormat="1" ht="41.25" customHeight="1">
      <c r="A223" s="24"/>
      <c r="B223" s="24"/>
      <c r="C223" s="24"/>
      <c r="D223" s="24"/>
      <c r="E223" s="24"/>
      <c r="F223" s="24"/>
      <c r="G223" s="24"/>
      <c r="H223" s="24"/>
      <c r="I223" s="24"/>
      <c r="J223" s="137"/>
      <c r="K223" s="24"/>
      <c r="L223" s="24"/>
      <c r="M223" s="24"/>
      <c r="N223" s="137"/>
      <c r="O223" s="24"/>
      <c r="P223" s="24"/>
      <c r="Q223" s="24"/>
      <c r="R223" s="24"/>
      <c r="S223" s="24"/>
      <c r="T223" s="24"/>
      <c r="U223" s="24"/>
      <c r="V223" s="24"/>
      <c r="W223" s="24"/>
      <c r="X223" s="24"/>
      <c r="Y223" s="54"/>
      <c r="Z223" s="55"/>
      <c r="AA223" s="56"/>
      <c r="AB223" s="56"/>
    </row>
    <row r="224" spans="1:28" s="21" customFormat="1" ht="45" customHeight="1">
      <c r="A224" s="24"/>
      <c r="B224" s="24"/>
      <c r="C224" s="24"/>
      <c r="D224" s="24"/>
      <c r="E224" s="24"/>
      <c r="F224" s="24"/>
      <c r="G224" s="24"/>
      <c r="H224" s="24"/>
      <c r="I224" s="24"/>
      <c r="J224" s="137"/>
      <c r="K224" s="24"/>
      <c r="L224" s="24"/>
      <c r="M224" s="24"/>
      <c r="N224" s="137"/>
      <c r="O224" s="24"/>
      <c r="P224" s="24"/>
      <c r="Q224" s="24"/>
      <c r="R224" s="24"/>
      <c r="S224" s="24"/>
      <c r="T224" s="24"/>
      <c r="U224" s="24"/>
      <c r="V224" s="24"/>
      <c r="W224" s="24"/>
      <c r="X224" s="24"/>
      <c r="Y224" s="54"/>
      <c r="Z224" s="55"/>
      <c r="AA224" s="56"/>
      <c r="AB224" s="56"/>
    </row>
    <row r="225" spans="1:28" s="21" customFormat="1" ht="34.5" customHeight="1">
      <c r="A225" s="24"/>
      <c r="B225" s="24"/>
      <c r="C225" s="24"/>
      <c r="D225" s="24"/>
      <c r="E225" s="24"/>
      <c r="F225" s="24"/>
      <c r="G225" s="24"/>
      <c r="H225" s="24"/>
      <c r="I225" s="24"/>
      <c r="J225" s="137"/>
      <c r="K225" s="24"/>
      <c r="L225" s="24"/>
      <c r="M225" s="24"/>
      <c r="N225" s="137"/>
      <c r="O225" s="24"/>
      <c r="P225" s="24"/>
      <c r="Q225" s="24"/>
      <c r="R225" s="24"/>
      <c r="S225" s="24"/>
      <c r="T225" s="24"/>
      <c r="U225" s="24"/>
      <c r="V225" s="24"/>
      <c r="W225" s="24"/>
      <c r="X225" s="24"/>
      <c r="Y225" s="54"/>
      <c r="Z225" s="55"/>
      <c r="AA225" s="56"/>
      <c r="AB225" s="56"/>
    </row>
    <row r="226" spans="1:28" s="21" customFormat="1" ht="34.5" customHeight="1">
      <c r="A226" s="24"/>
      <c r="B226" s="24"/>
      <c r="C226" s="24"/>
      <c r="D226" s="24"/>
      <c r="E226" s="24"/>
      <c r="F226" s="24"/>
      <c r="G226" s="24"/>
      <c r="H226" s="24"/>
      <c r="I226" s="24"/>
      <c r="J226" s="137"/>
      <c r="K226" s="24"/>
      <c r="L226" s="24"/>
      <c r="M226" s="24"/>
      <c r="N226" s="137"/>
      <c r="O226" s="24"/>
      <c r="P226" s="24"/>
      <c r="Q226" s="24"/>
      <c r="R226" s="24"/>
      <c r="S226" s="24"/>
      <c r="T226" s="24"/>
      <c r="U226" s="24"/>
      <c r="V226" s="24"/>
      <c r="W226" s="24"/>
      <c r="X226" s="24"/>
      <c r="Y226" s="54"/>
      <c r="Z226" s="55"/>
      <c r="AA226" s="56"/>
      <c r="AB226" s="56"/>
    </row>
    <row r="227" spans="1:28" s="21" customFormat="1" ht="34.5" customHeight="1">
      <c r="A227" s="24"/>
      <c r="B227" s="24"/>
      <c r="C227" s="24"/>
      <c r="D227" s="24"/>
      <c r="E227" s="24"/>
      <c r="F227" s="24"/>
      <c r="G227" s="24"/>
      <c r="H227" s="24"/>
      <c r="I227" s="24"/>
      <c r="J227" s="137"/>
      <c r="K227" s="24"/>
      <c r="L227" s="24"/>
      <c r="M227" s="24"/>
      <c r="N227" s="137"/>
      <c r="O227" s="24"/>
      <c r="P227" s="24"/>
      <c r="Q227" s="24"/>
      <c r="R227" s="24"/>
      <c r="S227" s="24"/>
      <c r="T227" s="24"/>
      <c r="U227" s="24"/>
      <c r="V227" s="24"/>
      <c r="W227" s="24"/>
      <c r="X227" s="24"/>
      <c r="Y227" s="54"/>
      <c r="Z227" s="55"/>
      <c r="AA227" s="56"/>
      <c r="AB227" s="56"/>
    </row>
    <row r="228" spans="1:28" s="21" customFormat="1" ht="34.5" customHeight="1">
      <c r="A228" s="24"/>
      <c r="B228" s="24"/>
      <c r="C228" s="24"/>
      <c r="D228" s="24"/>
      <c r="E228" s="24"/>
      <c r="F228" s="24"/>
      <c r="G228" s="24"/>
      <c r="H228" s="24"/>
      <c r="I228" s="24"/>
      <c r="J228" s="137"/>
      <c r="K228" s="24"/>
      <c r="L228" s="24"/>
      <c r="M228" s="24"/>
      <c r="N228" s="137"/>
      <c r="O228" s="24"/>
      <c r="P228" s="24"/>
      <c r="Q228" s="24"/>
      <c r="R228" s="24"/>
      <c r="S228" s="24"/>
      <c r="T228" s="24"/>
      <c r="U228" s="24"/>
      <c r="V228" s="24"/>
      <c r="W228" s="24"/>
      <c r="X228" s="24"/>
      <c r="Y228" s="54"/>
      <c r="Z228" s="55"/>
      <c r="AA228" s="56"/>
      <c r="AB228" s="56"/>
    </row>
    <row r="229" spans="1:28" s="21" customFormat="1" ht="34.5" customHeight="1">
      <c r="A229" s="24"/>
      <c r="B229" s="24"/>
      <c r="C229" s="24"/>
      <c r="D229" s="24"/>
      <c r="E229" s="24"/>
      <c r="F229" s="24"/>
      <c r="G229" s="24"/>
      <c r="H229" s="24"/>
      <c r="I229" s="24"/>
      <c r="J229" s="137"/>
      <c r="K229" s="24"/>
      <c r="L229" s="24"/>
      <c r="M229" s="24"/>
      <c r="N229" s="137"/>
      <c r="O229" s="24"/>
      <c r="P229" s="24"/>
      <c r="Q229" s="24"/>
      <c r="R229" s="24"/>
      <c r="S229" s="24"/>
      <c r="T229" s="24"/>
      <c r="U229" s="24"/>
      <c r="V229" s="24"/>
      <c r="W229" s="24"/>
      <c r="X229" s="24"/>
      <c r="Y229" s="54"/>
      <c r="Z229" s="55"/>
      <c r="AA229" s="56"/>
      <c r="AB229" s="56"/>
    </row>
    <row r="230" spans="1:28" s="21" customFormat="1" ht="34.5" customHeight="1">
      <c r="A230" s="24"/>
      <c r="B230" s="24"/>
      <c r="C230" s="24"/>
      <c r="D230" s="24"/>
      <c r="E230" s="24"/>
      <c r="F230" s="24"/>
      <c r="G230" s="24"/>
      <c r="H230" s="24"/>
      <c r="I230" s="24"/>
      <c r="J230" s="137"/>
      <c r="K230" s="24"/>
      <c r="L230" s="24"/>
      <c r="M230" s="24"/>
      <c r="N230" s="137"/>
      <c r="O230" s="24"/>
      <c r="P230" s="24"/>
      <c r="Q230" s="24"/>
      <c r="R230" s="24"/>
      <c r="S230" s="24"/>
      <c r="T230" s="24"/>
      <c r="U230" s="24"/>
      <c r="V230" s="24"/>
      <c r="W230" s="24"/>
      <c r="X230" s="24"/>
      <c r="Y230" s="54"/>
      <c r="Z230" s="55"/>
      <c r="AA230" s="56"/>
      <c r="AB230" s="56"/>
    </row>
    <row r="231" spans="1:28" s="21" customFormat="1" ht="34.5" customHeight="1">
      <c r="A231" s="24"/>
      <c r="B231" s="24"/>
      <c r="C231" s="24"/>
      <c r="D231" s="24"/>
      <c r="E231" s="24"/>
      <c r="F231" s="24"/>
      <c r="G231" s="24"/>
      <c r="H231" s="24"/>
      <c r="I231" s="24"/>
      <c r="J231" s="137"/>
      <c r="K231" s="24"/>
      <c r="L231" s="24"/>
      <c r="M231" s="24"/>
      <c r="N231" s="137"/>
      <c r="O231" s="24"/>
      <c r="P231" s="24"/>
      <c r="Q231" s="24"/>
      <c r="R231" s="24"/>
      <c r="S231" s="24"/>
      <c r="T231" s="24"/>
      <c r="U231" s="24"/>
      <c r="V231" s="24"/>
      <c r="W231" s="24"/>
      <c r="X231" s="24"/>
      <c r="Y231" s="54"/>
      <c r="Z231" s="55"/>
      <c r="AA231" s="56"/>
      <c r="AB231" s="56"/>
    </row>
    <row r="232" spans="1:28" s="21" customFormat="1" ht="34.5" customHeight="1">
      <c r="A232" s="24"/>
      <c r="B232" s="24"/>
      <c r="C232" s="24"/>
      <c r="D232" s="24"/>
      <c r="E232" s="24"/>
      <c r="F232" s="24"/>
      <c r="G232" s="24"/>
      <c r="H232" s="24"/>
      <c r="I232" s="24"/>
      <c r="J232" s="137"/>
      <c r="K232" s="24"/>
      <c r="L232" s="24"/>
      <c r="M232" s="24"/>
      <c r="N232" s="137"/>
      <c r="O232" s="24"/>
      <c r="P232" s="24"/>
      <c r="Q232" s="24"/>
      <c r="R232" s="24"/>
      <c r="S232" s="24"/>
      <c r="T232" s="24"/>
      <c r="U232" s="24"/>
      <c r="V232" s="24"/>
      <c r="W232" s="24"/>
      <c r="X232" s="24"/>
      <c r="Y232" s="54"/>
      <c r="Z232" s="55"/>
      <c r="AA232" s="56"/>
      <c r="AB232" s="56"/>
    </row>
    <row r="233" spans="1:28" s="21" customFormat="1" ht="34.5" customHeight="1">
      <c r="A233" s="24"/>
      <c r="B233" s="24"/>
      <c r="C233" s="24"/>
      <c r="D233" s="24"/>
      <c r="E233" s="24"/>
      <c r="F233" s="24"/>
      <c r="G233" s="24"/>
      <c r="H233" s="24"/>
      <c r="I233" s="24"/>
      <c r="J233" s="137"/>
      <c r="K233" s="24"/>
      <c r="L233" s="24"/>
      <c r="M233" s="24"/>
      <c r="N233" s="137"/>
      <c r="O233" s="24"/>
      <c r="P233" s="24"/>
      <c r="Q233" s="24"/>
      <c r="R233" s="24"/>
      <c r="S233" s="24"/>
      <c r="T233" s="24"/>
      <c r="U233" s="24"/>
      <c r="V233" s="24"/>
      <c r="W233" s="24"/>
      <c r="X233" s="24"/>
      <c r="Y233" s="54"/>
      <c r="Z233" s="55"/>
      <c r="AA233" s="56"/>
      <c r="AB233" s="56"/>
    </row>
    <row r="234" spans="1:28" s="21" customFormat="1" ht="34.5" customHeight="1">
      <c r="A234" s="24"/>
      <c r="B234" s="24"/>
      <c r="C234" s="24"/>
      <c r="D234" s="24"/>
      <c r="E234" s="24"/>
      <c r="F234" s="24"/>
      <c r="G234" s="24"/>
      <c r="H234" s="24"/>
      <c r="I234" s="24"/>
      <c r="J234" s="137"/>
      <c r="K234" s="24"/>
      <c r="L234" s="24"/>
      <c r="M234" s="24"/>
      <c r="N234" s="137"/>
      <c r="O234" s="24"/>
      <c r="P234" s="24"/>
      <c r="Q234" s="24"/>
      <c r="R234" s="24"/>
      <c r="S234" s="24"/>
      <c r="T234" s="24"/>
      <c r="U234" s="24"/>
      <c r="V234" s="24"/>
      <c r="W234" s="24"/>
      <c r="X234" s="24"/>
      <c r="Y234" s="54"/>
      <c r="Z234" s="55"/>
      <c r="AA234" s="56"/>
      <c r="AB234" s="56"/>
    </row>
    <row r="235" spans="1:28" s="21" customFormat="1" ht="34.5" customHeight="1">
      <c r="A235" s="24"/>
      <c r="B235" s="24"/>
      <c r="C235" s="24"/>
      <c r="D235" s="24"/>
      <c r="E235" s="24"/>
      <c r="F235" s="24"/>
      <c r="G235" s="24"/>
      <c r="H235" s="24"/>
      <c r="I235" s="24"/>
      <c r="J235" s="137"/>
      <c r="K235" s="24"/>
      <c r="L235" s="24"/>
      <c r="M235" s="24"/>
      <c r="N235" s="137"/>
      <c r="O235" s="24"/>
      <c r="P235" s="24"/>
      <c r="Q235" s="24"/>
      <c r="R235" s="24"/>
      <c r="S235" s="24"/>
      <c r="T235" s="24"/>
      <c r="U235" s="24"/>
      <c r="V235" s="24"/>
      <c r="W235" s="24"/>
      <c r="X235" s="24"/>
      <c r="Y235" s="54"/>
      <c r="Z235" s="55"/>
      <c r="AA235" s="56"/>
      <c r="AB235" s="56"/>
    </row>
    <row r="236" spans="1:28" s="21" customFormat="1" ht="34.5" customHeight="1">
      <c r="A236" s="24"/>
      <c r="B236" s="24"/>
      <c r="C236" s="24"/>
      <c r="D236" s="24"/>
      <c r="E236" s="24"/>
      <c r="F236" s="24"/>
      <c r="G236" s="24"/>
      <c r="H236" s="24"/>
      <c r="I236" s="24"/>
      <c r="J236" s="137"/>
      <c r="K236" s="24"/>
      <c r="L236" s="24"/>
      <c r="M236" s="24"/>
      <c r="N236" s="137"/>
      <c r="O236" s="24"/>
      <c r="P236" s="24"/>
      <c r="Q236" s="24"/>
      <c r="R236" s="24"/>
      <c r="S236" s="24"/>
      <c r="T236" s="24"/>
      <c r="U236" s="24"/>
      <c r="V236" s="24"/>
      <c r="W236" s="24"/>
      <c r="X236" s="24"/>
      <c r="Y236" s="54"/>
      <c r="Z236" s="55"/>
      <c r="AA236" s="56"/>
      <c r="AB236" s="56"/>
    </row>
    <row r="237" spans="1:28" s="21" customFormat="1" ht="34.5" customHeight="1">
      <c r="A237" s="24"/>
      <c r="B237" s="24"/>
      <c r="C237" s="24"/>
      <c r="D237" s="24"/>
      <c r="E237" s="24"/>
      <c r="F237" s="24"/>
      <c r="G237" s="24"/>
      <c r="H237" s="24"/>
      <c r="I237" s="24"/>
      <c r="J237" s="137"/>
      <c r="K237" s="24"/>
      <c r="L237" s="24"/>
      <c r="M237" s="24"/>
      <c r="N237" s="137"/>
      <c r="O237" s="24"/>
      <c r="P237" s="24"/>
      <c r="Q237" s="24"/>
      <c r="R237" s="24"/>
      <c r="S237" s="24"/>
      <c r="T237" s="24"/>
      <c r="U237" s="24"/>
      <c r="V237" s="24"/>
      <c r="W237" s="24"/>
      <c r="X237" s="24"/>
      <c r="Y237" s="54"/>
      <c r="Z237" s="55"/>
      <c r="AA237" s="56"/>
      <c r="AB237" s="56"/>
    </row>
    <row r="238" spans="1:28" s="21" customFormat="1" ht="34.5" customHeight="1">
      <c r="A238" s="24"/>
      <c r="B238" s="24"/>
      <c r="C238" s="24"/>
      <c r="D238" s="24"/>
      <c r="E238" s="24"/>
      <c r="F238" s="24"/>
      <c r="G238" s="24"/>
      <c r="H238" s="24"/>
      <c r="I238" s="24"/>
      <c r="J238" s="137"/>
      <c r="K238" s="24"/>
      <c r="L238" s="24"/>
      <c r="M238" s="24"/>
      <c r="N238" s="137"/>
      <c r="O238" s="24"/>
      <c r="P238" s="24"/>
      <c r="Q238" s="24"/>
      <c r="R238" s="24"/>
      <c r="S238" s="24"/>
      <c r="T238" s="24"/>
      <c r="U238" s="24"/>
      <c r="V238" s="24"/>
      <c r="W238" s="24"/>
      <c r="X238" s="24"/>
      <c r="Y238" s="54"/>
      <c r="Z238" s="55"/>
      <c r="AA238" s="56"/>
      <c r="AB238" s="56"/>
    </row>
    <row r="239" spans="1:28" s="21" customFormat="1" ht="34.5" customHeight="1">
      <c r="A239" s="24"/>
      <c r="B239" s="24"/>
      <c r="C239" s="24"/>
      <c r="D239" s="24"/>
      <c r="E239" s="24"/>
      <c r="F239" s="24"/>
      <c r="G239" s="24"/>
      <c r="H239" s="24"/>
      <c r="I239" s="24"/>
      <c r="J239" s="137"/>
      <c r="K239" s="24"/>
      <c r="L239" s="24"/>
      <c r="M239" s="24"/>
      <c r="N239" s="137"/>
      <c r="O239" s="24"/>
      <c r="P239" s="24"/>
      <c r="Q239" s="24"/>
      <c r="R239" s="24"/>
      <c r="S239" s="24"/>
      <c r="T239" s="24"/>
      <c r="U239" s="24"/>
      <c r="V239" s="24"/>
      <c r="W239" s="24"/>
      <c r="X239" s="24"/>
      <c r="Y239" s="54"/>
      <c r="Z239" s="55"/>
      <c r="AA239" s="56"/>
      <c r="AB239" s="56"/>
    </row>
    <row r="240" spans="1:28" s="21" customFormat="1" ht="34.5" customHeight="1">
      <c r="A240" s="24"/>
      <c r="B240" s="24"/>
      <c r="C240" s="24"/>
      <c r="D240" s="24"/>
      <c r="E240" s="24"/>
      <c r="F240" s="24"/>
      <c r="G240" s="24"/>
      <c r="H240" s="24"/>
      <c r="I240" s="24"/>
      <c r="J240" s="137"/>
      <c r="K240" s="24"/>
      <c r="L240" s="24"/>
      <c r="M240" s="24"/>
      <c r="N240" s="137"/>
      <c r="O240" s="24"/>
      <c r="P240" s="24"/>
      <c r="Q240" s="24"/>
      <c r="R240" s="24"/>
      <c r="S240" s="24"/>
      <c r="T240" s="24"/>
      <c r="U240" s="24"/>
      <c r="V240" s="24"/>
      <c r="W240" s="24"/>
      <c r="X240" s="24"/>
      <c r="Y240" s="54"/>
      <c r="Z240" s="55"/>
      <c r="AA240" s="56"/>
      <c r="AB240" s="56"/>
    </row>
    <row r="241" spans="1:28" s="21" customFormat="1" ht="34.5" customHeight="1">
      <c r="A241" s="24"/>
      <c r="B241" s="24"/>
      <c r="C241" s="24"/>
      <c r="D241" s="24"/>
      <c r="E241" s="24"/>
      <c r="F241" s="24"/>
      <c r="G241" s="24"/>
      <c r="H241" s="24"/>
      <c r="I241" s="24"/>
      <c r="J241" s="137"/>
      <c r="K241" s="24"/>
      <c r="L241" s="24"/>
      <c r="M241" s="24"/>
      <c r="N241" s="137"/>
      <c r="O241" s="24"/>
      <c r="P241" s="24"/>
      <c r="Q241" s="24"/>
      <c r="R241" s="24"/>
      <c r="S241" s="24"/>
      <c r="T241" s="24"/>
      <c r="U241" s="24"/>
      <c r="V241" s="24"/>
      <c r="W241" s="24"/>
      <c r="X241" s="24"/>
      <c r="Y241" s="54"/>
      <c r="Z241" s="55"/>
      <c r="AA241" s="56"/>
      <c r="AB241" s="56"/>
    </row>
    <row r="242" spans="1:28" s="21" customFormat="1" ht="34.5" customHeight="1">
      <c r="A242" s="24"/>
      <c r="B242" s="24"/>
      <c r="C242" s="24"/>
      <c r="D242" s="24"/>
      <c r="E242" s="24"/>
      <c r="F242" s="24"/>
      <c r="G242" s="24"/>
      <c r="H242" s="24"/>
      <c r="I242" s="24"/>
      <c r="J242" s="137"/>
      <c r="K242" s="24"/>
      <c r="L242" s="24"/>
      <c r="M242" s="24"/>
      <c r="N242" s="137"/>
      <c r="O242" s="24"/>
      <c r="P242" s="24"/>
      <c r="Q242" s="24"/>
      <c r="R242" s="24"/>
      <c r="S242" s="24"/>
      <c r="T242" s="24"/>
      <c r="U242" s="24"/>
      <c r="V242" s="24"/>
      <c r="W242" s="24"/>
      <c r="X242" s="24"/>
      <c r="Y242" s="54"/>
      <c r="Z242" s="55"/>
      <c r="AA242" s="56"/>
      <c r="AB242" s="56"/>
    </row>
    <row r="243" spans="1:28" s="21" customFormat="1" ht="34.5" customHeight="1">
      <c r="A243" s="24"/>
      <c r="B243" s="24"/>
      <c r="C243" s="24"/>
      <c r="D243" s="24"/>
      <c r="E243" s="24"/>
      <c r="F243" s="24"/>
      <c r="G243" s="24"/>
      <c r="H243" s="24"/>
      <c r="I243" s="24"/>
      <c r="J243" s="137"/>
      <c r="K243" s="24"/>
      <c r="L243" s="24"/>
      <c r="M243" s="24"/>
      <c r="N243" s="137"/>
      <c r="O243" s="24"/>
      <c r="P243" s="24"/>
      <c r="Q243" s="24"/>
      <c r="R243" s="24"/>
      <c r="S243" s="24"/>
      <c r="T243" s="24"/>
      <c r="U243" s="24"/>
      <c r="V243" s="24"/>
      <c r="W243" s="24"/>
      <c r="X243" s="24"/>
      <c r="Y243" s="54"/>
      <c r="Z243" s="55"/>
      <c r="AA243" s="56"/>
      <c r="AB243" s="56"/>
    </row>
    <row r="244" spans="1:28" s="21" customFormat="1" ht="34.5" customHeight="1">
      <c r="A244" s="24"/>
      <c r="B244" s="24"/>
      <c r="C244" s="24"/>
      <c r="D244" s="24"/>
      <c r="E244" s="24"/>
      <c r="F244" s="24"/>
      <c r="G244" s="24"/>
      <c r="H244" s="24"/>
      <c r="I244" s="24"/>
      <c r="J244" s="137"/>
      <c r="K244" s="24"/>
      <c r="L244" s="24"/>
      <c r="M244" s="24"/>
      <c r="N244" s="137"/>
      <c r="O244" s="24"/>
      <c r="P244" s="24"/>
      <c r="Q244" s="24"/>
      <c r="R244" s="24"/>
      <c r="S244" s="24"/>
      <c r="T244" s="24"/>
      <c r="U244" s="24"/>
      <c r="V244" s="24"/>
      <c r="W244" s="24"/>
      <c r="X244" s="24"/>
      <c r="Y244" s="54"/>
      <c r="Z244" s="55"/>
      <c r="AA244" s="56"/>
      <c r="AB244" s="56"/>
    </row>
    <row r="245" spans="1:28" s="21" customFormat="1" ht="34.5" customHeight="1">
      <c r="A245" s="24"/>
      <c r="B245" s="24"/>
      <c r="C245" s="24"/>
      <c r="D245" s="24"/>
      <c r="E245" s="24"/>
      <c r="F245" s="24"/>
      <c r="G245" s="24"/>
      <c r="H245" s="24"/>
      <c r="I245" s="24"/>
      <c r="J245" s="137"/>
      <c r="K245" s="24"/>
      <c r="L245" s="24"/>
      <c r="M245" s="24"/>
      <c r="N245" s="137"/>
      <c r="O245" s="24"/>
      <c r="P245" s="24"/>
      <c r="Q245" s="24"/>
      <c r="R245" s="24"/>
      <c r="S245" s="24"/>
      <c r="T245" s="24"/>
      <c r="U245" s="24"/>
      <c r="V245" s="24"/>
      <c r="W245" s="24"/>
      <c r="X245" s="24"/>
      <c r="Y245" s="54"/>
      <c r="Z245" s="55"/>
      <c r="AA245" s="56"/>
      <c r="AB245" s="56"/>
    </row>
    <row r="246" spans="1:28" s="21" customFormat="1" ht="34.5" customHeight="1">
      <c r="A246" s="24"/>
      <c r="B246" s="24"/>
      <c r="C246" s="24"/>
      <c r="D246" s="24"/>
      <c r="E246" s="24"/>
      <c r="F246" s="24"/>
      <c r="G246" s="24"/>
      <c r="H246" s="24"/>
      <c r="I246" s="24"/>
      <c r="J246" s="137"/>
      <c r="K246" s="24"/>
      <c r="L246" s="24"/>
      <c r="M246" s="24"/>
      <c r="N246" s="137"/>
      <c r="O246" s="24"/>
      <c r="P246" s="24"/>
      <c r="Q246" s="24"/>
      <c r="R246" s="24"/>
      <c r="S246" s="24"/>
      <c r="T246" s="24"/>
      <c r="U246" s="24"/>
      <c r="V246" s="24"/>
      <c r="W246" s="24"/>
      <c r="X246" s="24"/>
      <c r="Y246" s="54"/>
      <c r="Z246" s="55"/>
      <c r="AA246" s="56"/>
      <c r="AB246" s="56"/>
    </row>
    <row r="247" spans="1:28" ht="20.100000000000001" customHeight="1">
      <c r="Y247" s="1"/>
      <c r="Z247" s="29"/>
      <c r="AA247" s="30"/>
      <c r="AB247" s="30"/>
    </row>
    <row r="248" spans="1:28" ht="20.100000000000001" customHeight="1">
      <c r="Y248" s="1"/>
      <c r="Z248" s="29"/>
      <c r="AA248" s="30"/>
      <c r="AB248" s="30"/>
    </row>
    <row r="249" spans="1:28" ht="20.100000000000001" customHeight="1">
      <c r="J249" s="24"/>
      <c r="N249" s="24"/>
      <c r="Y249" s="1"/>
      <c r="Z249" s="29"/>
      <c r="AA249" s="30"/>
      <c r="AB249" s="30"/>
    </row>
    <row r="250" spans="1:28">
      <c r="J250" s="24"/>
      <c r="N250" s="24"/>
      <c r="AB250" s="23"/>
    </row>
  </sheetData>
  <mergeCells count="24">
    <mergeCell ref="A67:I67"/>
    <mergeCell ref="O1:X1"/>
    <mergeCell ref="M1:M2"/>
    <mergeCell ref="N1:N2"/>
    <mergeCell ref="A55:H55"/>
    <mergeCell ref="I1:I2"/>
    <mergeCell ref="J1:J2"/>
    <mergeCell ref="K1:K2"/>
    <mergeCell ref="L1:L2"/>
    <mergeCell ref="A1:A2"/>
    <mergeCell ref="B1:B2"/>
    <mergeCell ref="G1:G2"/>
    <mergeCell ref="H1:H2"/>
    <mergeCell ref="A61:G61"/>
    <mergeCell ref="A63:R63"/>
    <mergeCell ref="A66:J66"/>
    <mergeCell ref="A56:H56"/>
    <mergeCell ref="D1:D2"/>
    <mergeCell ref="A57:H57"/>
    <mergeCell ref="A59:F59"/>
    <mergeCell ref="A60:G60"/>
    <mergeCell ref="E1:E2"/>
    <mergeCell ref="C1:C2"/>
    <mergeCell ref="F1:F2"/>
  </mergeCells>
  <conditionalFormatting sqref="AB250 Y42:Y44 Y37:Y39 Z37:AB44 Y45:AB249 Y3:AB36">
    <cfRule type="cellIs" dxfId="7" priority="55" operator="equal">
      <formula>FALSE</formula>
    </cfRule>
  </conditionalFormatting>
  <conditionalFormatting sqref="Y42:Y44 Y37:Y39 Z37:AA44 Y45:AA249 Y3:AA36">
    <cfRule type="containsText" dxfId="6" priority="48" operator="containsText" text="fałsz">
      <formula>NOT(ISERROR(SEARCH("fałsz",Y3)))</formula>
    </cfRule>
  </conditionalFormatting>
  <conditionalFormatting sqref="Y40">
    <cfRule type="cellIs" dxfId="5" priority="9" operator="equal">
      <formula>FALSE</formula>
    </cfRule>
  </conditionalFormatting>
  <conditionalFormatting sqref="Y40">
    <cfRule type="containsText" dxfId="4" priority="8" operator="containsText" text="fałsz">
      <formula>NOT(ISERROR(SEARCH("fałsz",Y40)))</formula>
    </cfRule>
  </conditionalFormatting>
  <conditionalFormatting sqref="Y41">
    <cfRule type="cellIs" dxfId="3" priority="7" operator="equal">
      <formula>FALSE</formula>
    </cfRule>
  </conditionalFormatting>
  <conditionalFormatting sqref="B48">
    <cfRule type="duplicateValues" dxfId="2" priority="4"/>
  </conditionalFormatting>
  <conditionalFormatting sqref="B50">
    <cfRule type="duplicateValues" dxfId="1" priority="3"/>
  </conditionalFormatting>
  <conditionalFormatting sqref="B7">
    <cfRule type="duplicateValues" dxfId="0" priority="1"/>
  </conditionalFormatting>
  <dataValidations count="2">
    <dataValidation type="list" operator="equal" allowBlank="1" showInputMessage="1" showErrorMessage="1" sqref="G4">
      <formula1>"B,P,R"</formula1>
      <formula2>0</formula2>
    </dataValidation>
    <dataValidation type="list" allowBlank="1" showInputMessage="1" showErrorMessage="1" sqref="C3:C54">
      <formula1>"N,K,W"</formula1>
    </dataValidation>
  </dataValidations>
  <pageMargins left="0.23622047244094491" right="0.23622047244094491" top="0.74803149606299213" bottom="0.74803149606299213" header="0.31496062992125984" footer="0.31496062992125984"/>
  <pageSetup paperSize="8" scale="53" fitToHeight="0" orientation="landscape" r:id="rId1"/>
  <headerFooter>
    <oddHeader>&amp;LWojewództwo podlaskie - zadania gminne lista rezerwowa</oddHeader>
    <oddFooter>Strona &amp;P z &amp;N</oddFooter>
  </headerFooter>
  <ignoredErrors>
    <ignoredError sqref="E50 E4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</vt:i4>
      </vt:variant>
      <vt:variant>
        <vt:lpstr>Zakresy nazwane</vt:lpstr>
      </vt:variant>
      <vt:variant>
        <vt:i4>9</vt:i4>
      </vt:variant>
    </vt:vector>
  </HeadingPairs>
  <TitlesOfParts>
    <vt:vector size="14" baseType="lpstr">
      <vt:lpstr>20 - podlaskie</vt:lpstr>
      <vt:lpstr>pow podst</vt:lpstr>
      <vt:lpstr>gm podst</vt:lpstr>
      <vt:lpstr>pow rez</vt:lpstr>
      <vt:lpstr>gm rez</vt:lpstr>
      <vt:lpstr>'20 - podlaskie'!Obszar_wydruku</vt:lpstr>
      <vt:lpstr>'gm podst'!Obszar_wydruku</vt:lpstr>
      <vt:lpstr>'gm rez'!Obszar_wydruku</vt:lpstr>
      <vt:lpstr>'pow podst'!Obszar_wydruku</vt:lpstr>
      <vt:lpstr>'pow rez'!Obszar_wydruku</vt:lpstr>
      <vt:lpstr>'gm podst'!Tytuły_wydruku</vt:lpstr>
      <vt:lpstr>'gm rez'!Tytuły_wydruku</vt:lpstr>
      <vt:lpstr>'pow podst'!Tytuły_wydruku</vt:lpstr>
      <vt:lpstr>'pow rez'!Tytuły_wydruku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Przykaza Daniel</dc:creator>
  <cp:lastModifiedBy>Lenovo</cp:lastModifiedBy>
  <cp:lastPrinted>2021-11-23T13:54:41Z</cp:lastPrinted>
  <dcterms:created xsi:type="dcterms:W3CDTF">2019-02-25T10:53:14Z</dcterms:created>
  <dcterms:modified xsi:type="dcterms:W3CDTF">2023-02-06T12:59:16Z</dcterms:modified>
</cp:coreProperties>
</file>